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<sst xmlns="http://schemas.openxmlformats.org/spreadsheetml/2006/main" count="26825" uniqueCount="5998">
  <si>
    <t>Country, province from</t>
  </si>
  <si>
    <t>Country, province to</t>
  </si>
  <si>
    <t>Route</t>
  </si>
  <si>
    <t>Link</t>
  </si>
  <si>
    <t>Class</t>
  </si>
  <si>
    <t>Armenia, Dilijan</t>
  </si>
  <si>
    <t>Georgia, Tbilisi</t>
  </si>
  <si>
    <t>Dilijan Bus Station - Tbilisi Isani Mall</t>
  </si>
  <si>
    <t>van | Minivan</t>
  </si>
  <si>
    <t>Armenia, Yerevan</t>
  </si>
  <si>
    <t>Georgia, Batumi</t>
  </si>
  <si>
    <t>Yerevan Hotel Transfer - Batumi Airport</t>
  </si>
  <si>
    <t>charter | Minibus 18pax</t>
  </si>
  <si>
    <t>charter | Minivan 7pax</t>
  </si>
  <si>
    <t>charter | Standard 3pax</t>
  </si>
  <si>
    <t>Yerevan Hotel Transfer - Batumi Hotel Transfer</t>
  </si>
  <si>
    <t>Georgia, Kutaisi</t>
  </si>
  <si>
    <t>Yerevan Hotel Transfer - Kutaisi Airport</t>
  </si>
  <si>
    <t>Yerevan Hotel Transfer - Kutaisi Hotel Transfer</t>
  </si>
  <si>
    <t>Yerevan Abovyan Street - Tbilisi Isani Mall</t>
  </si>
  <si>
    <t>Yerevan Hotel Transfer - Tbilisi Airport</t>
  </si>
  <si>
    <t>Yerevan Hotel Transfer - Tbilisi Hotel Transfer</t>
  </si>
  <si>
    <t>Australia, Agnes Water</t>
  </si>
  <si>
    <t>Australia, Rockhampton</t>
  </si>
  <si>
    <t>Agnes Water - Rockhampton</t>
  </si>
  <si>
    <t>bus</t>
  </si>
  <si>
    <t>Australia, Airlie Beach</t>
  </si>
  <si>
    <t>Australia, Livingstone Shire</t>
  </si>
  <si>
    <t>Airlie Beach - Livingstone Shire</t>
  </si>
  <si>
    <t>Australia, Marlborough Queensland</t>
  </si>
  <si>
    <t>Airlie Beach - Marlborough Queensland</t>
  </si>
  <si>
    <t>Port Of Airlie - Marlborough Turnoff</t>
  </si>
  <si>
    <t>Australia, Alice Springs</t>
  </si>
  <si>
    <t>Australia, Davenport</t>
  </si>
  <si>
    <t>Alice Springs - Davenport</t>
  </si>
  <si>
    <t>Australia, Blackwater</t>
  </si>
  <si>
    <t>Australia, Emerald</t>
  </si>
  <si>
    <t>Blackwater - Emerald</t>
  </si>
  <si>
    <t>Australia, Brisbane</t>
  </si>
  <si>
    <t>Australia, Bundaberg</t>
  </si>
  <si>
    <t>Brisbane Roma Street - Bundaberg</t>
  </si>
  <si>
    <t>train | Business Seat</t>
  </si>
  <si>
    <t>train | Economy Seat</t>
  </si>
  <si>
    <t>Australia, Chinchilla</t>
  </si>
  <si>
    <t>Brisbane Coach Terminal - Chinchilla</t>
  </si>
  <si>
    <t>Australia, Gladstone</t>
  </si>
  <si>
    <t>Brisbane Roma Street - Gladstone</t>
  </si>
  <si>
    <t>Australia, Maryborough</t>
  </si>
  <si>
    <t>Brisbane Roma Street - Maryborough West</t>
  </si>
  <si>
    <t>Brisbane Roma Street - Rockhampton</t>
  </si>
  <si>
    <t>Australia, Brisbane Airport</t>
  </si>
  <si>
    <t>Brisbane Domestic Airport - Rockhampton</t>
  </si>
  <si>
    <t>Australia, Cairns</t>
  </si>
  <si>
    <t>Australia, Home Hill</t>
  </si>
  <si>
    <t>Cairns Bus Stop - Home Hill</t>
  </si>
  <si>
    <t>Australia, Canterbury NSW</t>
  </si>
  <si>
    <t>Australia, Canberra</t>
  </si>
  <si>
    <t>Canterbury Nsw - Canberra</t>
  </si>
  <si>
    <t>Indonesia, I Gusti Ngurah Rai International Airport</t>
  </si>
  <si>
    <t>Canterbury Nsw - I Gusti Ngurah Rai International Airport</t>
  </si>
  <si>
    <t>avia</t>
  </si>
  <si>
    <t>Indonesia, Jimbaran</t>
  </si>
  <si>
    <t>Canterbury Nsw - Jimbaran</t>
  </si>
  <si>
    <t>Indonesia, Ubud</t>
  </si>
  <si>
    <t>Canterbury Nsw - Ubud</t>
  </si>
  <si>
    <t>Australia, Dalby</t>
  </si>
  <si>
    <t>Australia, Lockyer Valley</t>
  </si>
  <si>
    <t>Dalby - Lockyer Valley</t>
  </si>
  <si>
    <t>Gladstone - Rockhampton</t>
  </si>
  <si>
    <t>Australia, Iluka</t>
  </si>
  <si>
    <t>Australia, Woolgoolga</t>
  </si>
  <si>
    <t>Iluka - Woolgoolga</t>
  </si>
  <si>
    <t>Maryborough West - Gladstone</t>
  </si>
  <si>
    <t>Maryborough West - Rockhampton</t>
  </si>
  <si>
    <t>Australia, Newcastle NSW</t>
  </si>
  <si>
    <t>India, Adoni</t>
  </si>
  <si>
    <t>Broadmeadow - Adoni</t>
  </si>
  <si>
    <t>train</t>
  </si>
  <si>
    <t>Newcastle New South Wales - Adoni</t>
  </si>
  <si>
    <t>India, Bhadravathi</t>
  </si>
  <si>
    <t>Newcastle New South Wales - Bhadravathi</t>
  </si>
  <si>
    <t>India, Bina</t>
  </si>
  <si>
    <t>Broadmeadow - Bina Junction</t>
  </si>
  <si>
    <t>Newcastle New South Wales - Bina</t>
  </si>
  <si>
    <t>India, Daund</t>
  </si>
  <si>
    <t>Broadmeadow - Daund Junction</t>
  </si>
  <si>
    <t>Newcastle New South Wales - Daund</t>
  </si>
  <si>
    <t>Australia, Rainbow Beach</t>
  </si>
  <si>
    <t>Australia, Gympie</t>
  </si>
  <si>
    <t>Rainbow Beach - Gympie</t>
  </si>
  <si>
    <t>Australia, Mackay Queensland</t>
  </si>
  <si>
    <t>Rainbow Beach - Mackay</t>
  </si>
  <si>
    <t>Rainbow Beach - Mackay Queensland</t>
  </si>
  <si>
    <t>Australia, Roma Town Queensland</t>
  </si>
  <si>
    <t>Australia, Augathella</t>
  </si>
  <si>
    <t>Roma Town Queensland - Augathella</t>
  </si>
  <si>
    <t>Roma Town - Augathella</t>
  </si>
  <si>
    <t>Australia, Surfers Paradise</t>
  </si>
  <si>
    <t>Australia, Ballina</t>
  </si>
  <si>
    <t>Surfers Paradise - Ballina</t>
  </si>
  <si>
    <t>Australia, Bilinga</t>
  </si>
  <si>
    <t>Surfers Paradise - Bilinga</t>
  </si>
  <si>
    <t>Surfers Paradise - Canterbury Nsw</t>
  </si>
  <si>
    <t>Australia, Clarence Valley</t>
  </si>
  <si>
    <t>Surfers Paradise - Clarence Valley</t>
  </si>
  <si>
    <t>Australia, Erskineville</t>
  </si>
  <si>
    <t>Surfers Paradise - Erskineville</t>
  </si>
  <si>
    <t>Australia, Hastings Shire</t>
  </si>
  <si>
    <t>Surfers Paradise - Hastings Shire</t>
  </si>
  <si>
    <t>Surfers Paradise - Iluka</t>
  </si>
  <si>
    <t>Australia, Maclean</t>
  </si>
  <si>
    <t>Surfers Paradise - Maclean</t>
  </si>
  <si>
    <t>Australia, Mid Coast</t>
  </si>
  <si>
    <t>Surfers Paradise - Mid Coast</t>
  </si>
  <si>
    <t>Australia, Potts Point NSW</t>
  </si>
  <si>
    <t>Surfers Paradise - Potts Point Nsw</t>
  </si>
  <si>
    <t>Australia, Taree</t>
  </si>
  <si>
    <t>Surfers Paradise - Taree</t>
  </si>
  <si>
    <t>Australia, West Ballina</t>
  </si>
  <si>
    <t>Surfers Paradise - West Ballina</t>
  </si>
  <si>
    <t>Australia, Yamba</t>
  </si>
  <si>
    <t>Surfers Paradise - Yamba</t>
  </si>
  <si>
    <t>Australia, Sydney</t>
  </si>
  <si>
    <t>Australia, Byron Bay</t>
  </si>
  <si>
    <t>Sydney - Byron Bay</t>
  </si>
  <si>
    <t>Sydney Central Station - Maclean</t>
  </si>
  <si>
    <t>Sydney - Maclean</t>
  </si>
  <si>
    <t>Indonesia, Nusa Ceningan</t>
  </si>
  <si>
    <t>Sydney - Nusa Ceningan</t>
  </si>
  <si>
    <t>Indonesia, Nusa Lembongan</t>
  </si>
  <si>
    <t>Sydney - Nusa Lembongan</t>
  </si>
  <si>
    <t>Indonesia, Nusa Penida</t>
  </si>
  <si>
    <t>Sydney - Nusa Penida</t>
  </si>
  <si>
    <t>Indonesia, Padang Bai</t>
  </si>
  <si>
    <t>Sydney - Padang Bai</t>
  </si>
  <si>
    <t>Indonesia, Sanur</t>
  </si>
  <si>
    <t>Sydney - Sanur</t>
  </si>
  <si>
    <t>Indonesia, Singaraja</t>
  </si>
  <si>
    <t>Sydney - Singaraja</t>
  </si>
  <si>
    <t>Australia, Townsville</t>
  </si>
  <si>
    <t>Townsville - Agnes Water</t>
  </si>
  <si>
    <t>Yamba - Arrawarra</t>
  </si>
  <si>
    <t>Yamba - Woolgoolga</t>
  </si>
  <si>
    <t>Bangladesh, Benapole</t>
  </si>
  <si>
    <t>Bangladesh, Dhaka</t>
  </si>
  <si>
    <t>Benapole - Dhaka Cantonment Station</t>
  </si>
  <si>
    <t>train | AC Chair</t>
  </si>
  <si>
    <t>train | AC Seat</t>
  </si>
  <si>
    <t>Bangladesh, Chittagong</t>
  </si>
  <si>
    <t>Bangladesh, Coxs Bazar</t>
  </si>
  <si>
    <t>Chittagong Railway Station - Coxs Bazar Railway Station</t>
  </si>
  <si>
    <t>Chittagong Railway Station - Dhaka Cantonment Station</t>
  </si>
  <si>
    <t>train | AC Berth</t>
  </si>
  <si>
    <t>Mymensingh - Dhaka Cantonment Station</t>
  </si>
  <si>
    <t>Bangladesh, Comilla</t>
  </si>
  <si>
    <t>Brahmanbaria - Dhaka Cantonment Station</t>
  </si>
  <si>
    <t>Coxs Bazar Railway Station - Chittagong Railway Station</t>
  </si>
  <si>
    <t>Coxs Bazar Railway Station - Dhaka Cantonment Station</t>
  </si>
  <si>
    <t>Dhaka Cantonment Station - Benapole</t>
  </si>
  <si>
    <t>Dhaka Cantonment Station - Chittagong Railway Station</t>
  </si>
  <si>
    <t>Dhaka Cantonment Station - Mymensingh</t>
  </si>
  <si>
    <t>Dhaka Cantonment Station - Brahmanbaria</t>
  </si>
  <si>
    <t>Dhaka Cantonment Station - Coxs Bazar Railway Station</t>
  </si>
  <si>
    <t>Dhaka Cantonment Station - Tangail</t>
  </si>
  <si>
    <t>Tangail - Dhaka Cantonment Station</t>
  </si>
  <si>
    <t>Bangladesh, Dinajpur</t>
  </si>
  <si>
    <t>Dhaka Cantonment Station - Dinajpur</t>
  </si>
  <si>
    <t>Bangladesh, Khulna</t>
  </si>
  <si>
    <t>Dhaka Cantonment Station - Khulna Railway Station</t>
  </si>
  <si>
    <t>Bangladesh, Pabna</t>
  </si>
  <si>
    <t>Dhaka Cantonment Station - Bogra</t>
  </si>
  <si>
    <t>Dhaka Cantonment Station - Ishwardi</t>
  </si>
  <si>
    <t>Dhaka Cantonment Station - Kushtia</t>
  </si>
  <si>
    <t>Bangladesh, Rajshahi</t>
  </si>
  <si>
    <t>Dhaka Cantonment Station - Jessore</t>
  </si>
  <si>
    <t>Bangladesh, Rangpur</t>
  </si>
  <si>
    <t>Dhaka Cantonment Station - Rangpur</t>
  </si>
  <si>
    <t>Bangladesh, Sylhet</t>
  </si>
  <si>
    <t>Dhaka Cantonment Station - Sylhet Railway Station</t>
  </si>
  <si>
    <t>Dinajpur - Dhaka Cantonment Station</t>
  </si>
  <si>
    <t>Khulna Railway Station - Dhaka Cantonment Station</t>
  </si>
  <si>
    <t>Bogra - Dhaka Cantonment Station</t>
  </si>
  <si>
    <t>Ishwardi - Dhaka Cantonment Station</t>
  </si>
  <si>
    <t>Kushtia - Dhaka Cantonment Station</t>
  </si>
  <si>
    <t>Jessore - Dhaka Cantonment Station</t>
  </si>
  <si>
    <t>Rajshahi Railway Station - Dhaka Cantonment Station</t>
  </si>
  <si>
    <t>Rangpur - Dhaka Cantonment Station</t>
  </si>
  <si>
    <t>Sylhet Railway Station - Dhaka Cantonment Station</t>
  </si>
  <si>
    <t>Botswana, Chobe National Park</t>
  </si>
  <si>
    <t>Botswana, Gaborone</t>
  </si>
  <si>
    <t>Chobe National Park - Sir Seretse Khama Airport</t>
  </si>
  <si>
    <t>charter | Minivan 6pax</t>
  </si>
  <si>
    <t>charter | Minivan 8pax</t>
  </si>
  <si>
    <t>charter | Sedan 3pax</t>
  </si>
  <si>
    <t>Zimbabwe, Victoria Falls</t>
  </si>
  <si>
    <t>Chobe National Park - Victoria Falls Airport</t>
  </si>
  <si>
    <t>Botswana, Francistown</t>
  </si>
  <si>
    <t>Francistown Transfer - Sir Seretse Khama Airport</t>
  </si>
  <si>
    <t>Sir Seretse Khama Airport - Chobe National Park</t>
  </si>
  <si>
    <t>Sir Seretse Khama Airport - Francistown Transfer</t>
  </si>
  <si>
    <t>Gaborone Hotel Transfer - Sir Seretse Khama Airport</t>
  </si>
  <si>
    <t>Sir Seretse Khama Airport - Gaborone Hotel Transfer</t>
  </si>
  <si>
    <t>Botswana, Maun</t>
  </si>
  <si>
    <t>Sir Seretse Khama Airport - Maun Transfer</t>
  </si>
  <si>
    <t>Maun Transfer - Sir Seretse Khama Airport</t>
  </si>
  <si>
    <t>Cambodia, Angk Ta Saom</t>
  </si>
  <si>
    <t>Cambodia, Kampot</t>
  </si>
  <si>
    <t>Ang Ta Soam - Kampot</t>
  </si>
  <si>
    <t>Angk Ta Saom - Kampot</t>
  </si>
  <si>
    <t>Cambodia, Banteay Meanchey</t>
  </si>
  <si>
    <t>Cambodia, Battambang</t>
  </si>
  <si>
    <t>Svay Chek - Battambang</t>
  </si>
  <si>
    <t>Thma Puok - Battambang</t>
  </si>
  <si>
    <t>Cambodia, Siem Reap</t>
  </si>
  <si>
    <t>Poipet - Siem Reap</t>
  </si>
  <si>
    <t>charter | SUV 4pax</t>
  </si>
  <si>
    <t>Cambodia, Banteay Chhmar</t>
  </si>
  <si>
    <t>Battambang - Banteay Chhmar</t>
  </si>
  <si>
    <t>Battambang - Kouk Mon</t>
  </si>
  <si>
    <t>Cambodia, Bavet</t>
  </si>
  <si>
    <t>Cambodia, Kien Svay</t>
  </si>
  <si>
    <t>Bavet - Kien Svay</t>
  </si>
  <si>
    <t>Cambodia, Kampong Thom</t>
  </si>
  <si>
    <t>Kampot - Kampong Thom</t>
  </si>
  <si>
    <t>Kien Svay - Angk Ta Saom</t>
  </si>
  <si>
    <t>Cambodia, Koh Kong</t>
  </si>
  <si>
    <t>Cambodia, Phnom Penh</t>
  </si>
  <si>
    <t>Dara Sakor - Phnom Penh</t>
  </si>
  <si>
    <t>Cambodia, Koh Rong</t>
  </si>
  <si>
    <t>Long Set Ferry Pier - Kampot</t>
  </si>
  <si>
    <t>van | Van 16pax + Ferry</t>
  </si>
  <si>
    <t>Cambodia, Kep</t>
  </si>
  <si>
    <t>Long Set Ferry Pier - Kep</t>
  </si>
  <si>
    <t>Koh Toch Beach - Long Set Beach</t>
  </si>
  <si>
    <t>ferry | Speedboat</t>
  </si>
  <si>
    <t>Long Set Beach - Koh Toch Beach</t>
  </si>
  <si>
    <t>Cambodia, Koh Rong Samloem</t>
  </si>
  <si>
    <t>Long Set Beach - MPai Bay</t>
  </si>
  <si>
    <t>Cambodia, Sihanoukville</t>
  </si>
  <si>
    <t>Koh Rong Sea House - Sihanoukville Romny Tour Express</t>
  </si>
  <si>
    <t>ferry | Ferry</t>
  </si>
  <si>
    <t>Koh Toch Beach - Sihanoukville Romny Tour Express</t>
  </si>
  <si>
    <t>Long Set Beach - Sihanoukville Romny Tour Express</t>
  </si>
  <si>
    <t>Long Set Beach - Speed Ferry Cambodia Sihanoukville</t>
  </si>
  <si>
    <t>Vietnam, An Giang</t>
  </si>
  <si>
    <t>Long Set Ferry Pier - Long Xuyen</t>
  </si>
  <si>
    <t>Vietnam, Can Tho</t>
  </si>
  <si>
    <t>Long Set Ferry Pier - Can Tho</t>
  </si>
  <si>
    <t>Vietnam, Chau Doc</t>
  </si>
  <si>
    <t>Long Set Ferry Pier - Chau Doc</t>
  </si>
  <si>
    <t>Vietnam, Ha Tien</t>
  </si>
  <si>
    <t>Long Set Ferry Pier - Ha Tien Border</t>
  </si>
  <si>
    <t>Long Set Ferry Pier - Ha Tien Town</t>
  </si>
  <si>
    <t>Vietnam, Ho Chi Minh City</t>
  </si>
  <si>
    <t>Long Set Ferry Pier - Ho Chi Minh</t>
  </si>
  <si>
    <t>Vietnam, Kien Giang</t>
  </si>
  <si>
    <t>Long Set Ferry Pier - Rach Gia</t>
  </si>
  <si>
    <t>Vietnam, Phu Quoc</t>
  </si>
  <si>
    <t>Long Set Ferry Pier - Phu Quoc</t>
  </si>
  <si>
    <t>Vietnam, Tien Giang</t>
  </si>
  <si>
    <t>Long Set Ferry Pier - My Tho</t>
  </si>
  <si>
    <t>Vietnam, Vinh Long</t>
  </si>
  <si>
    <t>Long Set Ferry Pier - Vinh Long</t>
  </si>
  <si>
    <t>MPai Bay - Long Set Beach</t>
  </si>
  <si>
    <t>MPai Bay - Soon Noeng Port</t>
  </si>
  <si>
    <t>Soon Noeng Port - MPai Bay</t>
  </si>
  <si>
    <t>Koh Rong Samloem - Sihanoukville Romny Tour Express</t>
  </si>
  <si>
    <t>Cambodia, Kratie</t>
  </si>
  <si>
    <t>Kratie Bus Station - Vibol Express Kampot</t>
  </si>
  <si>
    <t>bus | Sleeping Bus + Mini Van</t>
  </si>
  <si>
    <t>Kratie Bus Station - Sihanoukville Bus Terminal</t>
  </si>
  <si>
    <t>Cambodia, Stung Treng</t>
  </si>
  <si>
    <t>Kratie Bus Station - Trapaingkriel Border Checkpoint</t>
  </si>
  <si>
    <t>Laos, Champassak</t>
  </si>
  <si>
    <t>Kratie Bus Station - Don Khone Pa Kha Guesthouse</t>
  </si>
  <si>
    <t>Laos, Don Det</t>
  </si>
  <si>
    <t>Kratie Bus Station - Don Det Lana Express</t>
  </si>
  <si>
    <t>Laos, Nakasong</t>
  </si>
  <si>
    <t>Kratie Bus Station - Nakasang Paradise Hotel</t>
  </si>
  <si>
    <t>Laos, Pakse</t>
  </si>
  <si>
    <t>Kratie Bus Station - Chitpasong Bus Station Pakse</t>
  </si>
  <si>
    <t>Laos, Vientiane</t>
  </si>
  <si>
    <t>Kratie Bus Station - Soutchai Mini Bus Station</t>
  </si>
  <si>
    <t>Cambodia, Mondulkiri</t>
  </si>
  <si>
    <t>Cambodia, Kampong Cham</t>
  </si>
  <si>
    <t>Mondulkiri - Skun</t>
  </si>
  <si>
    <t>Phnom Penh - Banteay Chhmar</t>
  </si>
  <si>
    <t>Phnom Penh - Kouk Mon</t>
  </si>
  <si>
    <t>Cambodia, O Smach</t>
  </si>
  <si>
    <t>Phnom Penh - O Smach</t>
  </si>
  <si>
    <t>Cambodia, Takeo</t>
  </si>
  <si>
    <t>Phnom Penh - Tramkhnar</t>
  </si>
  <si>
    <t>Phnom Penh LANA Express - Chitpasong Bus Station Pakse</t>
  </si>
  <si>
    <t>Cambodia, Preah Vihear</t>
  </si>
  <si>
    <t>Preah Vihear - Kampong Thom</t>
  </si>
  <si>
    <t>Cambodia, Ratanakiri</t>
  </si>
  <si>
    <t>Banlung LANA Express - Trapaingkriel Border Checkpoint</t>
  </si>
  <si>
    <t>Banlung LANA Express - Don Khone Pa Kha Guesthouse</t>
  </si>
  <si>
    <t>Banlung LANA Express - Don Det Lana Express</t>
  </si>
  <si>
    <t>Banlung LANA Express - Nakasang Paradise Hotel</t>
  </si>
  <si>
    <t>Banlung LANA Express - Chitpasong Bus Station Pakse</t>
  </si>
  <si>
    <t>Siem Reap - Poipet</t>
  </si>
  <si>
    <t>Thailand, Pattaya</t>
  </si>
  <si>
    <t>Siem Reap Transfer - Pattaya Transfer</t>
  </si>
  <si>
    <t>Sihanoukville - Kampong Cham</t>
  </si>
  <si>
    <t>Sihanoukville - Skun</t>
  </si>
  <si>
    <t>Sihanoukville Romny Tour Express - Koh Toch Beach</t>
  </si>
  <si>
    <t>Sihanoukville Romny Tour Express - Long Set Beach</t>
  </si>
  <si>
    <t>Sihanoukville Romny Tour Express - Koh Rong Samloem</t>
  </si>
  <si>
    <t>Cambodia, Srae Ambel</t>
  </si>
  <si>
    <t>Sihanoukville - Srae Ambel</t>
  </si>
  <si>
    <t>Srae Ambel - Phnom Penh</t>
  </si>
  <si>
    <t>Rithmony Bus Stop - Vibol Express Kampot</t>
  </si>
  <si>
    <t>Rithmony Bus Stop - Sihanoukville Bus Terminal</t>
  </si>
  <si>
    <t>Tramkhnar - Kampot</t>
  </si>
  <si>
    <t>Canada, Abbotsford BC</t>
  </si>
  <si>
    <t>Canada, Saskatoon</t>
  </si>
  <si>
    <t>Abbotsford Bc - Saskatoon</t>
  </si>
  <si>
    <t>Canada, Amherst CA</t>
  </si>
  <si>
    <t>Canada, Moncton</t>
  </si>
  <si>
    <t>Amherst Ca - Moncton</t>
  </si>
  <si>
    <t>Canada, Montreal</t>
  </si>
  <si>
    <t>Amherst Ca - Montreal</t>
  </si>
  <si>
    <t>Canada, Ashcroft</t>
  </si>
  <si>
    <t>Canada, Edmonton</t>
  </si>
  <si>
    <t>Ashcroft - Edmonton</t>
  </si>
  <si>
    <t>Canada, Cornwall ON</t>
  </si>
  <si>
    <t>Canada, Toronto</t>
  </si>
  <si>
    <t>Cornwall On - Toronto</t>
  </si>
  <si>
    <t>Canada, Gilbert Plains</t>
  </si>
  <si>
    <t>Gilbert Plains - Gladstone</t>
  </si>
  <si>
    <t>Canada, Gladstone CA</t>
  </si>
  <si>
    <t>Gilbert Plains - Gladstone Ca</t>
  </si>
  <si>
    <t>Canada, Ochre River</t>
  </si>
  <si>
    <t>Gilbert Plains - Ochre River</t>
  </si>
  <si>
    <t>Canada, Plumas</t>
  </si>
  <si>
    <t>Gilbert Plains - Plumas</t>
  </si>
  <si>
    <t>Canada, Jasper</t>
  </si>
  <si>
    <t>Canada, Hinton</t>
  </si>
  <si>
    <t>Jasper - Hinton</t>
  </si>
  <si>
    <t>Canada, Valemount</t>
  </si>
  <si>
    <t>Jasper - Valemount</t>
  </si>
  <si>
    <t>Canada, Oshawa</t>
  </si>
  <si>
    <t>Oshawa - Dorval</t>
  </si>
  <si>
    <t>Canada, Portage la Prairie</t>
  </si>
  <si>
    <t>Canada, Watrous</t>
  </si>
  <si>
    <t>Portage La Prairie - Watrous</t>
  </si>
  <si>
    <t>Canada, Southport Airport</t>
  </si>
  <si>
    <t>Southport Airport - Watrous</t>
  </si>
  <si>
    <t>Canada, St Marys</t>
  </si>
  <si>
    <t>Canada, Strathroy</t>
  </si>
  <si>
    <t>St Marys - Strathroy</t>
  </si>
  <si>
    <t>Canada, Wyoming CA</t>
  </si>
  <si>
    <t>St Marys - Wyoming</t>
  </si>
  <si>
    <t>St Marys - Wyoming Ca</t>
  </si>
  <si>
    <t>Canada, St Tite</t>
  </si>
  <si>
    <t>Canada, Riviere a Pierre</t>
  </si>
  <si>
    <t>Saint Tite - Riviere A Pierre</t>
  </si>
  <si>
    <t>St Tite - Riviere A Pierre</t>
  </si>
  <si>
    <t>Canada, Brampton</t>
  </si>
  <si>
    <t>Strathroy - Brampton</t>
  </si>
  <si>
    <t>Canada, Sudbury</t>
  </si>
  <si>
    <t>Canada, Larchwood</t>
  </si>
  <si>
    <t>Sudbury - Larchwood</t>
  </si>
  <si>
    <t>Canada, Missanable</t>
  </si>
  <si>
    <t>Sudbury - Missanabie</t>
  </si>
  <si>
    <t>Sudbury - Missanable</t>
  </si>
  <si>
    <t>China, Aksu</t>
  </si>
  <si>
    <t>China, Gansu</t>
  </si>
  <si>
    <t>Aksu - Gansu</t>
  </si>
  <si>
    <t>China, Lanzhou</t>
  </si>
  <si>
    <t>Aksu - Lanzhou</t>
  </si>
  <si>
    <t>China, Longnan</t>
  </si>
  <si>
    <t>Aksu - Longnan</t>
  </si>
  <si>
    <t>Aksu - Longnan Gansu</t>
  </si>
  <si>
    <t>China, Alihe</t>
  </si>
  <si>
    <t>China, Heilongjiang</t>
  </si>
  <si>
    <t>Alihe - Heilongjiang</t>
  </si>
  <si>
    <t>China, Xunxian</t>
  </si>
  <si>
    <t>Alihe - Xunxian</t>
  </si>
  <si>
    <t>China, Anhui</t>
  </si>
  <si>
    <t>China, Pujiangzhen</t>
  </si>
  <si>
    <t>Anhui - Pujiangzhen</t>
  </si>
  <si>
    <t>China, Anshan</t>
  </si>
  <si>
    <t>China, Chaoyang Liaoning</t>
  </si>
  <si>
    <t>Anshan West - Beipiao</t>
  </si>
  <si>
    <t>Anshan West - Liaoning Chaoyang</t>
  </si>
  <si>
    <t>Anshan - Chaoyang Liaoning</t>
  </si>
  <si>
    <t>China, Tacheng</t>
  </si>
  <si>
    <t>Anshan West - Beijing Chaoyang</t>
  </si>
  <si>
    <t>Anshan - Tacheng</t>
  </si>
  <si>
    <t>China, Anyang</t>
  </si>
  <si>
    <t>China, Changzhou</t>
  </si>
  <si>
    <t>Anyang East - Changzhou North</t>
  </si>
  <si>
    <t>Anyang - Changzhou</t>
  </si>
  <si>
    <t>China, Urumqi</t>
  </si>
  <si>
    <t>Anyang - Urumqi</t>
  </si>
  <si>
    <t>China, Xiangyang</t>
  </si>
  <si>
    <t>Anyang East - Xiangyang East</t>
  </si>
  <si>
    <t>Anyang - Xiangyang</t>
  </si>
  <si>
    <t>China, Xinjiang</t>
  </si>
  <si>
    <t>Anyang - Xinjiang</t>
  </si>
  <si>
    <t>China, Baoding</t>
  </si>
  <si>
    <t>Baoding East - Beijing Chaoyang</t>
  </si>
  <si>
    <t>Baoding - Tacheng</t>
  </si>
  <si>
    <t>China, Zhangjiakou</t>
  </si>
  <si>
    <t>Baoding - Zhangjiakou</t>
  </si>
  <si>
    <t>China, Baotou</t>
  </si>
  <si>
    <t>China, Chengdu</t>
  </si>
  <si>
    <t>Baotou East - Chengdu West</t>
  </si>
  <si>
    <t>China, Erenhot</t>
  </si>
  <si>
    <t>Baotou - Erenhot</t>
  </si>
  <si>
    <t>China, Gaocheng</t>
  </si>
  <si>
    <t>Baotou - Gaocheng</t>
  </si>
  <si>
    <t>Baotou - Gaocheng South</t>
  </si>
  <si>
    <t>China, Guzhang</t>
  </si>
  <si>
    <t>Baotou - Guzhang</t>
  </si>
  <si>
    <t>Baotou - Lanzhou West</t>
  </si>
  <si>
    <t>China, Shijiazhuang</t>
  </si>
  <si>
    <t>Baotou - Shijiazhuang</t>
  </si>
  <si>
    <t>China, Songjiang Shanghai</t>
  </si>
  <si>
    <t>Baotou - Shanghai Songjiang</t>
  </si>
  <si>
    <t>Baotou - Songjiang Shanghai</t>
  </si>
  <si>
    <t>China, Weifang</t>
  </si>
  <si>
    <t>Baotou - Weifang</t>
  </si>
  <si>
    <t>China, Xigu</t>
  </si>
  <si>
    <t>Baotou - Xigu</t>
  </si>
  <si>
    <t>China, Xining</t>
  </si>
  <si>
    <t>Baotou East - Xining</t>
  </si>
  <si>
    <t>China, Xishui</t>
  </si>
  <si>
    <t>Baotou - Xishui</t>
  </si>
  <si>
    <t>China, Bayannur</t>
  </si>
  <si>
    <t>Bayannur - Chengdu</t>
  </si>
  <si>
    <t>Bayannur - Chengdu West</t>
  </si>
  <si>
    <t>China, Hohhot</t>
  </si>
  <si>
    <t>Bayannur - Hohhot East</t>
  </si>
  <si>
    <t>China, Taian</t>
  </si>
  <si>
    <t>Bayannur - Taian</t>
  </si>
  <si>
    <t>China, Beidaihe</t>
  </si>
  <si>
    <t>China, Binhai</t>
  </si>
  <si>
    <t>Beidaihe - Binhai</t>
  </si>
  <si>
    <t>Beidaihe - Binhai West</t>
  </si>
  <si>
    <t>China, Cangzhou</t>
  </si>
  <si>
    <t>Beidaihe - Cangzhou</t>
  </si>
  <si>
    <t>China, Handan</t>
  </si>
  <si>
    <t>Beidaihe - Handan</t>
  </si>
  <si>
    <t>Beidaihe - Handan East</t>
  </si>
  <si>
    <t>Beidaihe - Heilongjiang</t>
  </si>
  <si>
    <t>China, Huludao</t>
  </si>
  <si>
    <t>Beidaihe - Huludao</t>
  </si>
  <si>
    <t>China, Jiangning</t>
  </si>
  <si>
    <t>Beidaihe - Jiangning</t>
  </si>
  <si>
    <t>China, Jiangsu</t>
  </si>
  <si>
    <t>Beidaihe - Jiangsu</t>
  </si>
  <si>
    <t>China, Nanjing</t>
  </si>
  <si>
    <t>Beidaihe - Nanjing</t>
  </si>
  <si>
    <t>Beidaihe - Nanjing South</t>
  </si>
  <si>
    <t>China, Shaanxi</t>
  </si>
  <si>
    <t>Beidaihe - Shaanxi</t>
  </si>
  <si>
    <t>China, Shanghai</t>
  </si>
  <si>
    <t>Beidaihe - Shanghai Hongqiao</t>
  </si>
  <si>
    <t>China, Shanghai Hongqiao Airport</t>
  </si>
  <si>
    <t>Beidaihe - Shanghai Hongqiao Airport</t>
  </si>
  <si>
    <t>China, Shanhaiguan</t>
  </si>
  <si>
    <t>Beidaihe - Shanhaiguan</t>
  </si>
  <si>
    <t>China, Shuangliu</t>
  </si>
  <si>
    <t>Beidaihe - Shuangliu</t>
  </si>
  <si>
    <t>China, Wenjiang</t>
  </si>
  <si>
    <t>Beidaihe - Wenjiang</t>
  </si>
  <si>
    <t>China, Xian</t>
  </si>
  <si>
    <t>Beidaihe - Xian</t>
  </si>
  <si>
    <t>China, Xihu</t>
  </si>
  <si>
    <t>Beidaihe - Xihu</t>
  </si>
  <si>
    <t>Beidaihe - Xunxian</t>
  </si>
  <si>
    <t>China, Zhejiang</t>
  </si>
  <si>
    <t>Beidaihe - Zhejiang</t>
  </si>
  <si>
    <t>China, Beihai</t>
  </si>
  <si>
    <t>Beihai - Chengdu East</t>
  </si>
  <si>
    <t>China, Guangxi</t>
  </si>
  <si>
    <t>Beihai - Guangxi</t>
  </si>
  <si>
    <t>China, Hezhou</t>
  </si>
  <si>
    <t>Beihai - Hezhou</t>
  </si>
  <si>
    <t>China, Mingxi</t>
  </si>
  <si>
    <t>Beihai - Mingxi</t>
  </si>
  <si>
    <t>China, Saihan</t>
  </si>
  <si>
    <t>Beihai - Saihan</t>
  </si>
  <si>
    <t>China, Sichuan</t>
  </si>
  <si>
    <t>Beihai - Sichuan</t>
  </si>
  <si>
    <t>China, Wuxu Nanning</t>
  </si>
  <si>
    <t>Beihai - Wuxu Airport</t>
  </si>
  <si>
    <t>Beihai - Wuxu Nanning</t>
  </si>
  <si>
    <t>China, Beijing</t>
  </si>
  <si>
    <t>Beijing Fengtai - Chengdu West</t>
  </si>
  <si>
    <t>China, Chengdu Airport</t>
  </si>
  <si>
    <t>Beijing West - Shuangliu Airport</t>
  </si>
  <si>
    <t>China, Huainan</t>
  </si>
  <si>
    <t>Beijing South - Huainan East</t>
  </si>
  <si>
    <t>Beijing - Huainan</t>
  </si>
  <si>
    <t>Beijing - Huainan East</t>
  </si>
  <si>
    <t>China, Huairen County</t>
  </si>
  <si>
    <t>Beijing - Huairen East</t>
  </si>
  <si>
    <t>China, Hunchun</t>
  </si>
  <si>
    <t>Beijing - Hunchun</t>
  </si>
  <si>
    <t>China, Langfang</t>
  </si>
  <si>
    <t>Beijing Fengtai - Langfang North</t>
  </si>
  <si>
    <t>Beijing South - Langfang</t>
  </si>
  <si>
    <t>Beijing - Langfang</t>
  </si>
  <si>
    <t>Beijing - Langfang North</t>
  </si>
  <si>
    <t>China, Lianyungang</t>
  </si>
  <si>
    <t>Beijing Fengtai - Lianyungang East</t>
  </si>
  <si>
    <t>Beijing Fengtai - Nanjing</t>
  </si>
  <si>
    <t>China, Pingyao</t>
  </si>
  <si>
    <t>Beijing North - Pingyao Ancient City</t>
  </si>
  <si>
    <t>Beijing - Pujiangzhen</t>
  </si>
  <si>
    <t>China, Qujing</t>
  </si>
  <si>
    <t>Beijing West - Qujing</t>
  </si>
  <si>
    <t>Beijing West - Qujing North</t>
  </si>
  <si>
    <t>Beijing - Qujing</t>
  </si>
  <si>
    <t>Beijing South - Shanghai Hongqiao</t>
  </si>
  <si>
    <t>Beijing Fengtai - Shanghai Songjiang</t>
  </si>
  <si>
    <t>Beijing - Shanghai Songjiang</t>
  </si>
  <si>
    <t>Beijing - Songjiang Shanghai</t>
  </si>
  <si>
    <t>China, Tonghua</t>
  </si>
  <si>
    <t>Beijing - Tonghua</t>
  </si>
  <si>
    <t>China, Wanzhi</t>
  </si>
  <si>
    <t>Beijing - Wanzhi</t>
  </si>
  <si>
    <t>Beijing Fengtai - Weifang</t>
  </si>
  <si>
    <t>Beijing Fengtai - Xian South</t>
  </si>
  <si>
    <t>Beijing North - Xian North</t>
  </si>
  <si>
    <t>China, Yunxian</t>
  </si>
  <si>
    <t>Beijing South - Jining East</t>
  </si>
  <si>
    <t>Beijing - Yunxian</t>
  </si>
  <si>
    <t>China, Zalantun</t>
  </si>
  <si>
    <t>Beijing - Zalantun</t>
  </si>
  <si>
    <t>Beijing - Zhalantun</t>
  </si>
  <si>
    <t>China, Beijing Airport</t>
  </si>
  <si>
    <t>China, Daxing</t>
  </si>
  <si>
    <t>Beijing Airport - Daxing</t>
  </si>
  <si>
    <t>China, Harbin</t>
  </si>
  <si>
    <t>Shunyi West - Harbin West</t>
  </si>
  <si>
    <t>Beijing Airport - Heilongjiang</t>
  </si>
  <si>
    <t>Beijing Airport - Tacheng</t>
  </si>
  <si>
    <t>Shunyi West - Beijing Chaoyang</t>
  </si>
  <si>
    <t>China, Beijing Daxing Airport</t>
  </si>
  <si>
    <t>Guan - Beijing</t>
  </si>
  <si>
    <t>Beijing Daxing Airport - Daxing</t>
  </si>
  <si>
    <t>China, Qinghe</t>
  </si>
  <si>
    <t>Beijing Daxing Airport - Qinghe</t>
  </si>
  <si>
    <t>Guan - Qinghecheng</t>
  </si>
  <si>
    <t>Beijing Daxing Airport - Tacheng</t>
  </si>
  <si>
    <t>Daxing Airport Station - Beijing Daxing</t>
  </si>
  <si>
    <t>Guan East - Beijing Daxing</t>
  </si>
  <si>
    <t>China, Tianjin</t>
  </si>
  <si>
    <t>Guan East - Tianjin</t>
  </si>
  <si>
    <t>Guan East - Tianjin West</t>
  </si>
  <si>
    <t>China, Bole</t>
  </si>
  <si>
    <t>Bole - Urumqi South</t>
  </si>
  <si>
    <t>China, Boluo</t>
  </si>
  <si>
    <t>China, Nanchang</t>
  </si>
  <si>
    <t>Boluo - Nanchang</t>
  </si>
  <si>
    <t>China, Zhuzhou</t>
  </si>
  <si>
    <t>Boluo - Zhuzhou</t>
  </si>
  <si>
    <t>Cangzhou - Beijing Fengtai</t>
  </si>
  <si>
    <t>Cangzhou - Beijing South</t>
  </si>
  <si>
    <t>China, Changchun</t>
  </si>
  <si>
    <t>China, Shangqiu</t>
  </si>
  <si>
    <t>Changchun - Shangqiu</t>
  </si>
  <si>
    <t>Changchun - Shangqiu South</t>
  </si>
  <si>
    <t>Changchun West - Weifang North</t>
  </si>
  <si>
    <t>Changchun - Weifang</t>
  </si>
  <si>
    <t>Changchun - Weifang North</t>
  </si>
  <si>
    <t>China, Wuxi Jiangsu</t>
  </si>
  <si>
    <t>Changchun West - Wuxi East</t>
  </si>
  <si>
    <t>Changchun - Wuxi</t>
  </si>
  <si>
    <t>Changchun - Wuxi Jiangsu</t>
  </si>
  <si>
    <t>China, Zhangjiagang</t>
  </si>
  <si>
    <t>Changchun West - Zhangjiagang</t>
  </si>
  <si>
    <t>Changchun - Zhangjiagang</t>
  </si>
  <si>
    <t>China, Changsha</t>
  </si>
  <si>
    <t>China, Longchang</t>
  </si>
  <si>
    <t>Changsha South - Longchang North</t>
  </si>
  <si>
    <t>Changsha - Longchang</t>
  </si>
  <si>
    <t>China, Meizhou</t>
  </si>
  <si>
    <t>Changsha South - Meizhou West</t>
  </si>
  <si>
    <t>Changsha - Meizhou</t>
  </si>
  <si>
    <t>Changsha South - Zhangjiagang</t>
  </si>
  <si>
    <t>Changsha - Zhangjiagang</t>
  </si>
  <si>
    <t>China, Changzhi</t>
  </si>
  <si>
    <t>China, Xinxiang</t>
  </si>
  <si>
    <t>Changzhi North - Xinxiang</t>
  </si>
  <si>
    <t>Changzhi - Xinxiang</t>
  </si>
  <si>
    <t>China, Ankang</t>
  </si>
  <si>
    <t>Changzhou - Ankang</t>
  </si>
  <si>
    <t>Changzhou - Cangzhou</t>
  </si>
  <si>
    <t>Changzhou - Gansu</t>
  </si>
  <si>
    <t>China, Huaihua</t>
  </si>
  <si>
    <t>Changzhou North - Huaihua South</t>
  </si>
  <si>
    <t>Changzhou - Huaihua</t>
  </si>
  <si>
    <t>China, Huashan</t>
  </si>
  <si>
    <t>Changzhou North - Huashan North</t>
  </si>
  <si>
    <t>Changzhou - Huashan</t>
  </si>
  <si>
    <t>Changzhou North - Lanzhou West</t>
  </si>
  <si>
    <t>Changzhou - Pujiangzhen</t>
  </si>
  <si>
    <t>China, Shenyang</t>
  </si>
  <si>
    <t>Changzhou North - Shenyang</t>
  </si>
  <si>
    <t>Changzhou North - Shenyang South</t>
  </si>
  <si>
    <t>China, Chaonan</t>
  </si>
  <si>
    <t>Chaonan - Luofushan</t>
  </si>
  <si>
    <t>China, Dongguan</t>
  </si>
  <si>
    <t>Chaonan - Dongguan</t>
  </si>
  <si>
    <t>North Korea, Sinuiju</t>
  </si>
  <si>
    <t>Chaoyang Liaoning - Sinuiju</t>
  </si>
  <si>
    <t>China, Panzhihua</t>
  </si>
  <si>
    <t>Chengdu South - Yongren</t>
  </si>
  <si>
    <t>China, Songpan</t>
  </si>
  <si>
    <t>Chengdu West - Huanglong Jiuzhai</t>
  </si>
  <si>
    <t>Chengdu East - Zhangjiakou</t>
  </si>
  <si>
    <t>Chengdu - Zhangjiakou</t>
  </si>
  <si>
    <t>China, Zhanjiang</t>
  </si>
  <si>
    <t>Chengdu East - Zhanjiang West</t>
  </si>
  <si>
    <t>China, Chengdu Tianfu Airport</t>
  </si>
  <si>
    <t>China, Jiaxiang</t>
  </si>
  <si>
    <t>Tianfu Airport - Jiangbei Airport</t>
  </si>
  <si>
    <t>China, Chongqing</t>
  </si>
  <si>
    <t>China, Enshi</t>
  </si>
  <si>
    <t>Chongqing West - Enshi</t>
  </si>
  <si>
    <t>China, Quzhou</t>
  </si>
  <si>
    <t>Chongqing North - Quzhou</t>
  </si>
  <si>
    <t>Chongqing West - Quzhou</t>
  </si>
  <si>
    <t>Chongqing - Quzhou</t>
  </si>
  <si>
    <t>Chongqing North - Shenyang North</t>
  </si>
  <si>
    <t>China, Shiyan</t>
  </si>
  <si>
    <t>Chongqing West - Shiyan</t>
  </si>
  <si>
    <t>China, Dali</t>
  </si>
  <si>
    <t>Dali - Guangxi</t>
  </si>
  <si>
    <t>Dali - Mingxi</t>
  </si>
  <si>
    <t>China, Weishan Yi and Hui</t>
  </si>
  <si>
    <t>Dali Yunnan - Weishan</t>
  </si>
  <si>
    <t>Dali - Weishan Yi And Hui</t>
  </si>
  <si>
    <t>China, Yuxi</t>
  </si>
  <si>
    <t>Dali Yunnan - Yuxi Yunnan</t>
  </si>
  <si>
    <t>Dali - Yuxi</t>
  </si>
  <si>
    <t>China, Dalian</t>
  </si>
  <si>
    <t>Dalian - Baoding</t>
  </si>
  <si>
    <t>Dalian North - Beipiao</t>
  </si>
  <si>
    <t>China, Hebei</t>
  </si>
  <si>
    <t>Dalian - Hebei</t>
  </si>
  <si>
    <t>Dalian - Hohhot East</t>
  </si>
  <si>
    <t>China, Jiangzhou</t>
  </si>
  <si>
    <t>Dalian - Jiangzhou</t>
  </si>
  <si>
    <t>China, Jiaocheng</t>
  </si>
  <si>
    <t>Dalian - Jiaocheng</t>
  </si>
  <si>
    <t>China, Liaoning</t>
  </si>
  <si>
    <t>Dalian North - Zhuanghe North</t>
  </si>
  <si>
    <t>China, Songyuan</t>
  </si>
  <si>
    <t>Dalian - Songyuan</t>
  </si>
  <si>
    <t>China, Suihua</t>
  </si>
  <si>
    <t>Dalian North - Suihua</t>
  </si>
  <si>
    <t>Dalian - Suihua</t>
  </si>
  <si>
    <t>Dalian North - Beijing Chaoyang</t>
  </si>
  <si>
    <t>Dalian - Tacheng</t>
  </si>
  <si>
    <t>Dalian - Taian</t>
  </si>
  <si>
    <t>China, Tianxin</t>
  </si>
  <si>
    <t>Dalian - Tianxin</t>
  </si>
  <si>
    <t>China, Xinyi</t>
  </si>
  <si>
    <t>Dalian - Xinyi</t>
  </si>
  <si>
    <t>China, Yijiang</t>
  </si>
  <si>
    <t>Dalian - Yijiang</t>
  </si>
  <si>
    <t>China, Dandong</t>
  </si>
  <si>
    <t>China, Jilin</t>
  </si>
  <si>
    <t>Dandong - Jilin</t>
  </si>
  <si>
    <t>China, Daqing</t>
  </si>
  <si>
    <t>China, Jiamusi</t>
  </si>
  <si>
    <t>Daqing - Jiamusi</t>
  </si>
  <si>
    <t>Daqing - Liaoning</t>
  </si>
  <si>
    <t>China, Qinhuangdao</t>
  </si>
  <si>
    <t>Daqing East - Qinhuangdao</t>
  </si>
  <si>
    <t>Daqing - Qinhuangdao</t>
  </si>
  <si>
    <t>China, Qiqihar</t>
  </si>
  <si>
    <t>Daqing East - Qiqihar</t>
  </si>
  <si>
    <t>Daqing East - Qiqihar South</t>
  </si>
  <si>
    <t>Daqing - Qiqihar</t>
  </si>
  <si>
    <t>Daqing - Xunxian</t>
  </si>
  <si>
    <t>China, Dezhou</t>
  </si>
  <si>
    <t>Dezhou - Cangzhou</t>
  </si>
  <si>
    <t>China, Fusui</t>
  </si>
  <si>
    <t>Dezhou East - Funing South</t>
  </si>
  <si>
    <t>Dezhou - Fusui</t>
  </si>
  <si>
    <t>China, Dongcheng South</t>
  </si>
  <si>
    <t>China, Duanzhou</t>
  </si>
  <si>
    <t>Dongcheng South - Duanzhou</t>
  </si>
  <si>
    <t>China, Jingmen</t>
  </si>
  <si>
    <t>Dongcheng South - Jingmen</t>
  </si>
  <si>
    <t>China, Maoming</t>
  </si>
  <si>
    <t>Dongcheng South - Maoming</t>
  </si>
  <si>
    <t>Dongguan East - Qujing</t>
  </si>
  <si>
    <t>Dongguan - Qujing</t>
  </si>
  <si>
    <t>China, Taizhou Zhejiang</t>
  </si>
  <si>
    <t>Dongguan - Taizhou</t>
  </si>
  <si>
    <t>Dongguan - Taizhou Zhejiang</t>
  </si>
  <si>
    <t>Dongguan - Zhuzhou</t>
  </si>
  <si>
    <t>China, Duan Yao</t>
  </si>
  <si>
    <t>China, Humen Town</t>
  </si>
  <si>
    <t>Duan Yao - Humen Town</t>
  </si>
  <si>
    <t>Duanzhou - Songjiang Shanghai</t>
  </si>
  <si>
    <t>Enshi - Changzhou</t>
  </si>
  <si>
    <t>Enshi - Jintan</t>
  </si>
  <si>
    <t>Enshi - Wujin</t>
  </si>
  <si>
    <t>China, Fenghuang</t>
  </si>
  <si>
    <t>Fenghuanggucheng - Shanghai South</t>
  </si>
  <si>
    <t>China, Fuding</t>
  </si>
  <si>
    <t>China, Guangdong</t>
  </si>
  <si>
    <t>Fuding - Guangdong</t>
  </si>
  <si>
    <t>China, Guangzhou</t>
  </si>
  <si>
    <t>Fuding - Guangzhou</t>
  </si>
  <si>
    <t>Fuding - Guangzhou East</t>
  </si>
  <si>
    <t>China, Quanzhou</t>
  </si>
  <si>
    <t>Fuding - Quanzhou</t>
  </si>
  <si>
    <t>Fuding - Shanghai Songjiang</t>
  </si>
  <si>
    <t>Fuding - Songjiang Shanghai</t>
  </si>
  <si>
    <t>China, Fujian</t>
  </si>
  <si>
    <t>Fujian - Dezhou</t>
  </si>
  <si>
    <t>China, Huizhou</t>
  </si>
  <si>
    <t>Fujian - Huizhou</t>
  </si>
  <si>
    <t>China, Jiangbei</t>
  </si>
  <si>
    <t>Fujian - Jiangbei</t>
  </si>
  <si>
    <t>China, Jiangjin</t>
  </si>
  <si>
    <t>Fujian - Jiangjin</t>
  </si>
  <si>
    <t>China, Jiangxia</t>
  </si>
  <si>
    <t>Fujian - Jiangxia</t>
  </si>
  <si>
    <t>China, Jiangyuan</t>
  </si>
  <si>
    <t>Fujian - Jiangyuan</t>
  </si>
  <si>
    <t>Fujian - Pujiangzhen</t>
  </si>
  <si>
    <t>China, Qingzhen</t>
  </si>
  <si>
    <t>Fujian - Qingzhen</t>
  </si>
  <si>
    <t>Fujian - Zhangjiagang</t>
  </si>
  <si>
    <t>China, Funing</t>
  </si>
  <si>
    <t>Funing - Anhui</t>
  </si>
  <si>
    <t>Funing - Beijing</t>
  </si>
  <si>
    <t>China, Dexing</t>
  </si>
  <si>
    <t>Funing - Dexing</t>
  </si>
  <si>
    <t>Funing - Fujian</t>
  </si>
  <si>
    <t>China, Fuzhou</t>
  </si>
  <si>
    <t>Funing - Fuzhou</t>
  </si>
  <si>
    <t>Funing - Guangdong</t>
  </si>
  <si>
    <t>Funing - Guangzhou</t>
  </si>
  <si>
    <t>China, Hangzhou</t>
  </si>
  <si>
    <t>Fuliang East - Hangzhou West</t>
  </si>
  <si>
    <t>China, Hefei</t>
  </si>
  <si>
    <t>Funing - Hefei</t>
  </si>
  <si>
    <t>China, Henan</t>
  </si>
  <si>
    <t>Funing - Henan</t>
  </si>
  <si>
    <t>China, Huangshan</t>
  </si>
  <si>
    <t>Fuliang East - Huangshan North</t>
  </si>
  <si>
    <t>Funing - Huangshan</t>
  </si>
  <si>
    <t>Funing - Huizhou</t>
  </si>
  <si>
    <t>Funing - Jiangbei</t>
  </si>
  <si>
    <t>Funing - Jiangning</t>
  </si>
  <si>
    <t>Funing - Jiangsu</t>
  </si>
  <si>
    <t>China, Jiangxi</t>
  </si>
  <si>
    <t>Funing - Jiangxi</t>
  </si>
  <si>
    <t>Funing - Jiangzhou</t>
  </si>
  <si>
    <t>Funing - Jiaocheng</t>
  </si>
  <si>
    <t>China, Jinhua</t>
  </si>
  <si>
    <t>Funing - Jinhua</t>
  </si>
  <si>
    <t>China, Jinjiang</t>
  </si>
  <si>
    <t>Funing - Jinjiang</t>
  </si>
  <si>
    <t>China, Jiujiang</t>
  </si>
  <si>
    <t>Funing - Jiujiang</t>
  </si>
  <si>
    <t>Funing - Nanchang</t>
  </si>
  <si>
    <t>Fuliang East - Nanjing South</t>
  </si>
  <si>
    <t>Funing - Nanjing</t>
  </si>
  <si>
    <t>China, Ningbo</t>
  </si>
  <si>
    <t>Funing - Ningbo</t>
  </si>
  <si>
    <t>Funing - Pujiangzhen</t>
  </si>
  <si>
    <t>Funing - Quanzhou</t>
  </si>
  <si>
    <t>Funing - Shaanxi</t>
  </si>
  <si>
    <t>Funing - Shanghai</t>
  </si>
  <si>
    <t>Fuliang East - Shanghai Hongqiao Airport</t>
  </si>
  <si>
    <t>Funing - Shanghai Hongqiao Airport</t>
  </si>
  <si>
    <t>China, Shangrao</t>
  </si>
  <si>
    <t>Funing - Shangrao</t>
  </si>
  <si>
    <t>China, Shenzhen</t>
  </si>
  <si>
    <t>Funing - Shenzhen</t>
  </si>
  <si>
    <t>Fuliang East - Shanghai Songjiang</t>
  </si>
  <si>
    <t>Funing - Songjiang Shanghai</t>
  </si>
  <si>
    <t>China, Wenzhou</t>
  </si>
  <si>
    <t>Funing - Wenzhou</t>
  </si>
  <si>
    <t>China, Wuhan</t>
  </si>
  <si>
    <t>Funing - Wuhan</t>
  </si>
  <si>
    <t>China, Xiamen</t>
  </si>
  <si>
    <t>Funing - Xiamen</t>
  </si>
  <si>
    <t>Funing - Xian</t>
  </si>
  <si>
    <t>Funing - Xihu</t>
  </si>
  <si>
    <t>China, Yiwu</t>
  </si>
  <si>
    <t>Funing - Yiwu</t>
  </si>
  <si>
    <t>China, Zengcheng</t>
  </si>
  <si>
    <t>Funing - Zengcheng</t>
  </si>
  <si>
    <t>Funing - Zhejiang</t>
  </si>
  <si>
    <t>China, Zhengzhou</t>
  </si>
  <si>
    <t>Funing - Zhengzhou</t>
  </si>
  <si>
    <t>China, Fuqing</t>
  </si>
  <si>
    <t>Fuqing West - Nanchang West</t>
  </si>
  <si>
    <t>Fuqing - Nanchang</t>
  </si>
  <si>
    <t>China, Fushun</t>
  </si>
  <si>
    <t>Fushun North - Changchun</t>
  </si>
  <si>
    <t>Fushun - Changchun</t>
  </si>
  <si>
    <t>China, Jinan</t>
  </si>
  <si>
    <t>Fushun North - Daminghu</t>
  </si>
  <si>
    <t>Fushun North - Jinan</t>
  </si>
  <si>
    <t>Fushun - Jinan</t>
  </si>
  <si>
    <t>Funing South - Beijing South</t>
  </si>
  <si>
    <t>Fusui - Beijing</t>
  </si>
  <si>
    <t>Fusui - Shanghai Hongqiao Airport</t>
  </si>
  <si>
    <t>China, Suzhou</t>
  </si>
  <si>
    <t>Funing South - Suzhou</t>
  </si>
  <si>
    <t>Fusui - Suzhou</t>
  </si>
  <si>
    <t>Funing South - Zhangjiagang</t>
  </si>
  <si>
    <t>Fusui - Zhangjiagang</t>
  </si>
  <si>
    <t>China, Fuxin</t>
  </si>
  <si>
    <t>Fuxin - Beijing</t>
  </si>
  <si>
    <t>Fuxin - Beijing West</t>
  </si>
  <si>
    <t>China, Benxi</t>
  </si>
  <si>
    <t>Fuxin - Benxi</t>
  </si>
  <si>
    <t>Fuxin - Beipiao</t>
  </si>
  <si>
    <t>Fuxin - Chaoyang Liaoning</t>
  </si>
  <si>
    <t>Fuxin - Liaoning Chaoyang</t>
  </si>
  <si>
    <t>China, Chifeng</t>
  </si>
  <si>
    <t>Fuxin - Chifeng</t>
  </si>
  <si>
    <t>Fuxin - Beijing Chaoyang</t>
  </si>
  <si>
    <t>Fuxin - Tacheng</t>
  </si>
  <si>
    <t>Fuxin South - Tianjin</t>
  </si>
  <si>
    <t>Fuxin - Tianjin</t>
  </si>
  <si>
    <t>Fuxin - Xunxian</t>
  </si>
  <si>
    <t>China, Fuyang</t>
  </si>
  <si>
    <t>Fuyang - Changchun</t>
  </si>
  <si>
    <t>China, Guiyang</t>
  </si>
  <si>
    <t>Fuyang - Guiyang</t>
  </si>
  <si>
    <t>Fuyang - Handan</t>
  </si>
  <si>
    <t>Fuyang - Harbin</t>
  </si>
  <si>
    <t>Fuyang - Harbin West</t>
  </si>
  <si>
    <t>China, Jining</t>
  </si>
  <si>
    <t>Fuyang - Jining</t>
  </si>
  <si>
    <t>China, Linyi</t>
  </si>
  <si>
    <t>Fuyang - Linyi</t>
  </si>
  <si>
    <t>China, Nanning</t>
  </si>
  <si>
    <t>Fuyang - Nanning</t>
  </si>
  <si>
    <t>Fuyang - Shangqiu</t>
  </si>
  <si>
    <t>Fuyang - Shangqiu South</t>
  </si>
  <si>
    <t>Fuyang - Shenzhen</t>
  </si>
  <si>
    <t>Fuyang - Shenzhen East</t>
  </si>
  <si>
    <t>Fuyang - Shijiazhuang</t>
  </si>
  <si>
    <t>China, Yancheng</t>
  </si>
  <si>
    <t>Fuyang - Yancheng</t>
  </si>
  <si>
    <t>China, Fuyang Anhui</t>
  </si>
  <si>
    <t>Fuyang West - Xuancheng</t>
  </si>
  <si>
    <t>Fuyang Anhui - Binhai</t>
  </si>
  <si>
    <t>Fuyang Anhui - Changchun</t>
  </si>
  <si>
    <t>Fuyang Anhui - Fujian</t>
  </si>
  <si>
    <t>Fuyang Anhui - Guangxi</t>
  </si>
  <si>
    <t>Fuyang Anhui - Guzhang</t>
  </si>
  <si>
    <t>Fuyang Anhui - Handan</t>
  </si>
  <si>
    <t>Fuyang West - Handan East</t>
  </si>
  <si>
    <t>Fuyang West - Hangzhou West</t>
  </si>
  <si>
    <t>Fuyang Anhui - Harbin</t>
  </si>
  <si>
    <t>Fuyang Anhui - Hebei</t>
  </si>
  <si>
    <t>Fuyang Anhui - Heilongjiang</t>
  </si>
  <si>
    <t>Fuyang Anhui - Henan</t>
  </si>
  <si>
    <t>China, Heshan</t>
  </si>
  <si>
    <t>Fuyang Anhui - Heshan</t>
  </si>
  <si>
    <t>China, Huaxi</t>
  </si>
  <si>
    <t>Fuyang Anhui - Huaxi</t>
  </si>
  <si>
    <t>China, Hubei</t>
  </si>
  <si>
    <t>Fuyang Anhui - Hubei</t>
  </si>
  <si>
    <t>China, Hunan</t>
  </si>
  <si>
    <t>Fuyang Anhui - Hunan</t>
  </si>
  <si>
    <t>Fuyang Anhui - Jiangning</t>
  </si>
  <si>
    <t>Fuyang Anhui - Jiangxi</t>
  </si>
  <si>
    <t>Fuyang Anhui - Jiangzhou</t>
  </si>
  <si>
    <t>Fuyang Anhui - Jiaocheng</t>
  </si>
  <si>
    <t>Fuyang Anhui - Jining</t>
  </si>
  <si>
    <t>Fuyang Anhui - Lanzhou</t>
  </si>
  <si>
    <t>Fuyang West - Lanzhou West</t>
  </si>
  <si>
    <t>Fuyang Anhui - Linyi</t>
  </si>
  <si>
    <t>Fuyang Anhui - Mingxi</t>
  </si>
  <si>
    <t>Fuyang Anhui - Pujiangzhen</t>
  </si>
  <si>
    <t>Fuyang Anhui - Quanzhou</t>
  </si>
  <si>
    <t>Fuyang West - Qingyang</t>
  </si>
  <si>
    <t>Fuyang Anhui - Shaanxi</t>
  </si>
  <si>
    <t>Fuyang West - Shanghai South</t>
  </si>
  <si>
    <t>Fuyang Anhui - Shangqiu</t>
  </si>
  <si>
    <t>Fuyang West - Shangqiu</t>
  </si>
  <si>
    <t>Funan - Shenzhen East</t>
  </si>
  <si>
    <t>Fuyang Anhui - Shenzhen</t>
  </si>
  <si>
    <t>Fuyang West - Shenzhen North</t>
  </si>
  <si>
    <t>Fuyang Anhui - Shijiazhuang</t>
  </si>
  <si>
    <t>Fuyang West - Shijiazhuang</t>
  </si>
  <si>
    <t>China, Sihui</t>
  </si>
  <si>
    <t>Fuyang Anhui - Sihui</t>
  </si>
  <si>
    <t>Fuyang Anhui - Songjiang Shanghai</t>
  </si>
  <si>
    <t>Fuyang West - Shanghai Songjiang</t>
  </si>
  <si>
    <t>Fuyang Anhui - Tianxin</t>
  </si>
  <si>
    <t>Fuyang Anhui - Xigu</t>
  </si>
  <si>
    <t>Fuyang Anhui - Xihu</t>
  </si>
  <si>
    <t>China, Xinmin</t>
  </si>
  <si>
    <t>Fuyang Anhui - Xinmin</t>
  </si>
  <si>
    <t>Fuyang West - Wuhu North</t>
  </si>
  <si>
    <t>China, Xuanzhou</t>
  </si>
  <si>
    <t>Fuyang Anhui - Xuanzhou</t>
  </si>
  <si>
    <t>Fuyang West - Langxi South</t>
  </si>
  <si>
    <t>China, Xuchang</t>
  </si>
  <si>
    <t>Fuyang Anhui - Xuchang</t>
  </si>
  <si>
    <t>Fuyang West - Xuchang North</t>
  </si>
  <si>
    <t>Fuyang Anhui - Xunxian</t>
  </si>
  <si>
    <t>Fuyang Anhui - Yancheng</t>
  </si>
  <si>
    <t>China, Yutian</t>
  </si>
  <si>
    <t>Fuyang Anhui - Yutian</t>
  </si>
  <si>
    <t>Fuyang West - Wuhu South</t>
  </si>
  <si>
    <t>China, Yuzhong</t>
  </si>
  <si>
    <t>Fuyang Anhui - Yuzhong</t>
  </si>
  <si>
    <t>Fuyang Anhui - Zhangjiagang</t>
  </si>
  <si>
    <t>Fuyang West - Zhangjiagang</t>
  </si>
  <si>
    <t>Fuyang West - Zhengzhou Hangkonggang</t>
  </si>
  <si>
    <t>Fuzhou - Guzhang</t>
  </si>
  <si>
    <t>Fuzhou South - Huizhou North</t>
  </si>
  <si>
    <t>Fuzhou - Jiangbei</t>
  </si>
  <si>
    <t>Fuzhou - Jiangyuan</t>
  </si>
  <si>
    <t>Fuzhou - Pujiangzhen</t>
  </si>
  <si>
    <t>Fuzhou South - Shanghai South</t>
  </si>
  <si>
    <t>China, Xinyu</t>
  </si>
  <si>
    <t>Fuzhou - Xinyu</t>
  </si>
  <si>
    <t>Fuzhou - Xishui</t>
  </si>
  <si>
    <t>China, Huade</t>
  </si>
  <si>
    <t>Gansu - Huade</t>
  </si>
  <si>
    <t>Gansu - Pujiangzhen</t>
  </si>
  <si>
    <t>China, Ganzhou</t>
  </si>
  <si>
    <t>Ganzhou - Binhai</t>
  </si>
  <si>
    <t>Ganzhou - Tanggu</t>
  </si>
  <si>
    <t>China, Qingyuan</t>
  </si>
  <si>
    <t>Ganzhou - Qingyuan</t>
  </si>
  <si>
    <t>Ganzhou - Yuantan</t>
  </si>
  <si>
    <t>Ganzhou - Shanghai Songjiang</t>
  </si>
  <si>
    <t>Ganzhou - Songjiang Shanghai</t>
  </si>
  <si>
    <t>Ganzhou - Wenzhou</t>
  </si>
  <si>
    <t>Ganzhou - Wenzhou South</t>
  </si>
  <si>
    <t>Gaocheng South - Funing East</t>
  </si>
  <si>
    <t>Gaocheng - Beidaihe</t>
  </si>
  <si>
    <t>China, Golmud</t>
  </si>
  <si>
    <t>China, Qinghai</t>
  </si>
  <si>
    <t>Golmud - Qinghai</t>
  </si>
  <si>
    <t>Guangzhou South - Luohe West</t>
  </si>
  <si>
    <t>China, Longyan</t>
  </si>
  <si>
    <t>Guangzhou - Yongding</t>
  </si>
  <si>
    <t>Guangzhou East - Shanghai South</t>
  </si>
  <si>
    <t>Guangzhou East - Shanghai Hongqiao Airport</t>
  </si>
  <si>
    <t>Guangzhou North - Zhangjiagang</t>
  </si>
  <si>
    <t>Guangzhou - Zhangjiagang</t>
  </si>
  <si>
    <t>China, Guilin</t>
  </si>
  <si>
    <t>Guilin North - Guigang</t>
  </si>
  <si>
    <t>Guilin - Guigang</t>
  </si>
  <si>
    <t>China, Baise</t>
  </si>
  <si>
    <t>Guiyang North - Baise</t>
  </si>
  <si>
    <t>Guiyang - Baise</t>
  </si>
  <si>
    <t>China, Guizhou</t>
  </si>
  <si>
    <t>Guiyang - Congjiang</t>
  </si>
  <si>
    <t>Guiyang East - Shanghai Hongqiao Airport</t>
  </si>
  <si>
    <t>Guiyang North - Shanghai Hongqiao Airport</t>
  </si>
  <si>
    <t>Guiyang North - Zhangjiagang</t>
  </si>
  <si>
    <t>Guiyang - Zhangjiagang</t>
  </si>
  <si>
    <t>China, Wuzhou</t>
  </si>
  <si>
    <t>Guizhou - Wuzhou</t>
  </si>
  <si>
    <t>Jinyangnan - Guiyang East</t>
  </si>
  <si>
    <t>China, Hainan</t>
  </si>
  <si>
    <t>Meilan - Dongfang</t>
  </si>
  <si>
    <t>Wanning - Wenchang</t>
  </si>
  <si>
    <t>Handan - Jiaxiang</t>
  </si>
  <si>
    <t>Handan - Zhangjiakou</t>
  </si>
  <si>
    <t>Hangzhou East - Xiapu</t>
  </si>
  <si>
    <t>Hangzhou East - Chaoshan</t>
  </si>
  <si>
    <t>Hangzhou East - Jinan West</t>
  </si>
  <si>
    <t>China, Kaifeng</t>
  </si>
  <si>
    <t>Hangzhou South - Kaifeng North</t>
  </si>
  <si>
    <t>China, Ningde</t>
  </si>
  <si>
    <t>Hangzhou East - Ningde</t>
  </si>
  <si>
    <t>Hangzhou South - Ningde</t>
  </si>
  <si>
    <t>Harbin - Guangzhoubaiyun</t>
  </si>
  <si>
    <t>Harbin North - Beijing Chaoyang</t>
  </si>
  <si>
    <t>China, Wuhu</t>
  </si>
  <si>
    <t>Harbin - Wuhu</t>
  </si>
  <si>
    <t>China, Hechi</t>
  </si>
  <si>
    <t>Hechi - Qingzhen</t>
  </si>
  <si>
    <t>Hefei - Baotou</t>
  </si>
  <si>
    <t>Hefei - Cangzhou</t>
  </si>
  <si>
    <t>China, Zibo</t>
  </si>
  <si>
    <t>Hefei South - Zibo</t>
  </si>
  <si>
    <t>Hefei - Zibo</t>
  </si>
  <si>
    <t>Heilongjiang - Jiaxiang</t>
  </si>
  <si>
    <t>Heilongjiang - Wuhu</t>
  </si>
  <si>
    <t>China, Hekou</t>
  </si>
  <si>
    <t>China, Shuangyashan</t>
  </si>
  <si>
    <t>Hekou North - Honghe</t>
  </si>
  <si>
    <t>Hekou - Shuangyashan</t>
  </si>
  <si>
    <t>China, Yulin Guangxi</t>
  </si>
  <si>
    <t>Henan - Yulin Guangxi</t>
  </si>
  <si>
    <t>China, Hengshui</t>
  </si>
  <si>
    <t>Hengshui North - Hohhot East</t>
  </si>
  <si>
    <t>Hengshui - Hohhot</t>
  </si>
  <si>
    <t>Hengshui - Hohhot East</t>
  </si>
  <si>
    <t>Hengshui - Taian</t>
  </si>
  <si>
    <t>Hengshui - Xinjiang</t>
  </si>
  <si>
    <t>China, Heyuan</t>
  </si>
  <si>
    <t>Heyuan - Jiangning</t>
  </si>
  <si>
    <t>Heyuan - Jiangsu</t>
  </si>
  <si>
    <t>China, Taian Shandong</t>
  </si>
  <si>
    <t>Heyuan - Taian Shandong</t>
  </si>
  <si>
    <t>Heyuan - Taishan Shandong</t>
  </si>
  <si>
    <t>Heyuan - Tianjin</t>
  </si>
  <si>
    <t>Heyuan East - Xiamen North</t>
  </si>
  <si>
    <t>Heyuan - Xiamen</t>
  </si>
  <si>
    <t>China, Heze</t>
  </si>
  <si>
    <t>China, Liuzhou</t>
  </si>
  <si>
    <t>Heze - Liuzhou</t>
  </si>
  <si>
    <t>China, Xinyang</t>
  </si>
  <si>
    <t>Heze East Railway Station - Xinyang East</t>
  </si>
  <si>
    <t>Heze - Xinyang</t>
  </si>
  <si>
    <t>Hezhou - Changsha</t>
  </si>
  <si>
    <t>Hezhou - Hunan</t>
  </si>
  <si>
    <t>Hezhou - Tianxin</t>
  </si>
  <si>
    <t>Hohhot East - Chengdu East</t>
  </si>
  <si>
    <t>Hohhot East - Jinan East</t>
  </si>
  <si>
    <t>Hohhot East - Lanzhou West</t>
  </si>
  <si>
    <t>Hohhot - Lanzhou West</t>
  </si>
  <si>
    <t>Hohhot - Qinghai</t>
  </si>
  <si>
    <t>Hohhot East - Shanghai Songjiang</t>
  </si>
  <si>
    <t>Hohhot - Shanghai Songjiang</t>
  </si>
  <si>
    <t>Hohhot - Songjiang Shanghai</t>
  </si>
  <si>
    <t>Hohhot East - Weifang</t>
  </si>
  <si>
    <t>Hohhot - Weifang</t>
  </si>
  <si>
    <t>Hohhot East - Xining</t>
  </si>
  <si>
    <t>China, Yuncheng</t>
  </si>
  <si>
    <t>Hohhot East - Yuncheng North</t>
  </si>
  <si>
    <t>Hohhot - Yuncheng</t>
  </si>
  <si>
    <t>Hohhot - Yuncheng North</t>
  </si>
  <si>
    <t>China, Hong Kong West Kowloon</t>
  </si>
  <si>
    <t>Hong Kong West Kowloon - Hangzhou West</t>
  </si>
  <si>
    <t>Hong Kong West Kowloon - Hebei</t>
  </si>
  <si>
    <t>China, Jishou</t>
  </si>
  <si>
    <t>Hong Kong West Kowloon - Jishou</t>
  </si>
  <si>
    <t>Hong Kong West Kowloon - Jishou East</t>
  </si>
  <si>
    <t>Hong Kong West Kowloon - Meizhou</t>
  </si>
  <si>
    <t>Hong Kong West Kowloon - Meizhou West</t>
  </si>
  <si>
    <t>Jingzhou - Wuhan East</t>
  </si>
  <si>
    <t>China, Tianshui</t>
  </si>
  <si>
    <t>Hubei - Tianshui</t>
  </si>
  <si>
    <t>Xiaogan North - Tianshui South</t>
  </si>
  <si>
    <t>Huizhou - Longyan</t>
  </si>
  <si>
    <t>Huizhou North - Wenzhou South</t>
  </si>
  <si>
    <t>Huizhou North - Yueqing East</t>
  </si>
  <si>
    <t>China, Inner Mongolia</t>
  </si>
  <si>
    <t>Inner Mongolia - Gaocheng</t>
  </si>
  <si>
    <t>Inner Mongolia - Qinghai</t>
  </si>
  <si>
    <t>Inner Mongolia - Shuangliu</t>
  </si>
  <si>
    <t>Inner Mongolia - Songjiang Shanghai</t>
  </si>
  <si>
    <t>Inner Mongolia - Weifang</t>
  </si>
  <si>
    <t>Inner Mongolia - Wenjiang</t>
  </si>
  <si>
    <t>Jiamusi - Chengdu West</t>
  </si>
  <si>
    <t>Jiamusi - Huludao</t>
  </si>
  <si>
    <t>Jiamusi - Shuangliu</t>
  </si>
  <si>
    <t>Jiamusi - Beijing Chaoyang</t>
  </si>
  <si>
    <t>Jiamusi - Tacheng</t>
  </si>
  <si>
    <t>Jiamusi - Weifang</t>
  </si>
  <si>
    <t>China, Jian Jiangxi</t>
  </si>
  <si>
    <t>Jian Jiangxi - Fuyang</t>
  </si>
  <si>
    <t>Jian Jiangxi - Fuyang Anhui</t>
  </si>
  <si>
    <t>Jiangbei - Longyan</t>
  </si>
  <si>
    <t>China, Panyu</t>
  </si>
  <si>
    <t>Jiangbei - Panyu</t>
  </si>
  <si>
    <t>Lilinbei - Panyu</t>
  </si>
  <si>
    <t>Longfeng - Panyu</t>
  </si>
  <si>
    <t>Yunshan - Panyu</t>
  </si>
  <si>
    <t>Zhongkai - Shanghai Hongqiao Airport</t>
  </si>
  <si>
    <t>Zhongkai - Suzhou</t>
  </si>
  <si>
    <t>Jiangjin - Longyan</t>
  </si>
  <si>
    <t>Jiangjin - Panyu</t>
  </si>
  <si>
    <t>China, Jiangmen</t>
  </si>
  <si>
    <t>Jiangmen - Humen</t>
  </si>
  <si>
    <t>Jiangmen - Humen Town</t>
  </si>
  <si>
    <t>China, Jiaxing</t>
  </si>
  <si>
    <t>Jiangning - Jiaxing</t>
  </si>
  <si>
    <t>Jiangning - Pingyao</t>
  </si>
  <si>
    <t>Jiangning - Pujiangzhen</t>
  </si>
  <si>
    <t>Jiangning - Zhangjiagang</t>
  </si>
  <si>
    <t>Jiangning - Zibo</t>
  </si>
  <si>
    <t>China, Loudi</t>
  </si>
  <si>
    <t>Jiangsu - Loudi</t>
  </si>
  <si>
    <t>Jiangsu - Pingyao</t>
  </si>
  <si>
    <t>Jiangsu - Zhangjiagang</t>
  </si>
  <si>
    <t>Jiangxi - Binhai</t>
  </si>
  <si>
    <t>Jiangxi - Xunxian</t>
  </si>
  <si>
    <t>Jiangxia - Heze</t>
  </si>
  <si>
    <t>Jiangxia - Jiangxi</t>
  </si>
  <si>
    <t>Jiangxia - Longyan</t>
  </si>
  <si>
    <t>Jiangxia - Shanghai Hongqiao Airport</t>
  </si>
  <si>
    <t>Jiangxia - Suzhou</t>
  </si>
  <si>
    <t>Jiangxia - Wenzhou</t>
  </si>
  <si>
    <t>Jiangyuan - Heze</t>
  </si>
  <si>
    <t>Jiangyuan - Jiangxi</t>
  </si>
  <si>
    <t>Jiangyuan - Longyan</t>
  </si>
  <si>
    <t>Jiangyuan - Shanghai Hongqiao Airport</t>
  </si>
  <si>
    <t>Jiangyuan - Songjiang Shanghai</t>
  </si>
  <si>
    <t>Jiangyuan - Wenzhou</t>
  </si>
  <si>
    <t>Jiangzhou - Funing</t>
  </si>
  <si>
    <t>Jiangzhou - Fusui</t>
  </si>
  <si>
    <t>China, Hong Kong Island</t>
  </si>
  <si>
    <t>Jiangzhou - Hong Kong Island</t>
  </si>
  <si>
    <t>Jiangzhou - Hong Kong West Kowloon</t>
  </si>
  <si>
    <t>Jiangzhou - Huaihua</t>
  </si>
  <si>
    <t>Jiangzhou - Huairen County</t>
  </si>
  <si>
    <t>Jiangzhou - Shangrao</t>
  </si>
  <si>
    <t>Jiangzhou - Songjiang Shanghai</t>
  </si>
  <si>
    <t>Jiangzhou - Yulin Guangxi</t>
  </si>
  <si>
    <t>Jiangzhou - Zhangjiagang</t>
  </si>
  <si>
    <t>Hong Kong, Hong Kong</t>
  </si>
  <si>
    <t>Jiangzhou - Hong Kong</t>
  </si>
  <si>
    <t>China, Jianou</t>
  </si>
  <si>
    <t>Jianou West - Shanghai Hongqiao Airport</t>
  </si>
  <si>
    <t>Jianou - Shanghai Hongqiao Airport</t>
  </si>
  <si>
    <t>Jiaocheng - Chengdu Tianfu Airport</t>
  </si>
  <si>
    <t>China, Datong</t>
  </si>
  <si>
    <t>Jiaocheng - Datong</t>
  </si>
  <si>
    <t>China, Ruijin</t>
  </si>
  <si>
    <t>Jiaocheng - Ruijin</t>
  </si>
  <si>
    <t>Jiaocheng - Yiwu</t>
  </si>
  <si>
    <t>Jiaocheng - Yulin Guangxi</t>
  </si>
  <si>
    <t>Jiaocheng - Zhangjiagang</t>
  </si>
  <si>
    <t>Jiangbei Airport - Chengdu East</t>
  </si>
  <si>
    <t>Yinhua - Chengdu East</t>
  </si>
  <si>
    <t>China, Foshan</t>
  </si>
  <si>
    <t>Jiaxiang - Foshan</t>
  </si>
  <si>
    <t>Jiaxiang - Panzhihua</t>
  </si>
  <si>
    <t>China, Qingcheng Mountain</t>
  </si>
  <si>
    <t>Jiaxiang - Qingcheng Mountain</t>
  </si>
  <si>
    <t>Jiaxiang - Quzhou</t>
  </si>
  <si>
    <t>China, Renhe</t>
  </si>
  <si>
    <t>Jiaxiang - Renhe</t>
  </si>
  <si>
    <t>Jiaxiang - Shangqiu</t>
  </si>
  <si>
    <t>Jiaxiang - Shenyang</t>
  </si>
  <si>
    <t>China, Taizhou Jiangsu</t>
  </si>
  <si>
    <t>Jiaxiang - Taizhou Jiangsu</t>
  </si>
  <si>
    <t>Jiaxiang - Xiangyang</t>
  </si>
  <si>
    <t>Jiaxiang - Xunxian</t>
  </si>
  <si>
    <t>China, Jiayuguan City</t>
  </si>
  <si>
    <t>Jiayuguan City - Jiaocheng</t>
  </si>
  <si>
    <t>China, Jieshou</t>
  </si>
  <si>
    <t>China, Kunshan</t>
  </si>
  <si>
    <t>Jieshou South - Kunshan South</t>
  </si>
  <si>
    <t>Jieshou - Kunshan</t>
  </si>
  <si>
    <t>Jieshou - Xinyi</t>
  </si>
  <si>
    <t>China, Jiexiu</t>
  </si>
  <si>
    <t>China, Weihai</t>
  </si>
  <si>
    <t>Jiexiu East - Weihai</t>
  </si>
  <si>
    <t>Jiexiu - Weihai</t>
  </si>
  <si>
    <t>Jilin - Cangzhou</t>
  </si>
  <si>
    <t>Jilin - Daqing</t>
  </si>
  <si>
    <t>Jilin - Daqing East</t>
  </si>
  <si>
    <t>Jilin - Shanghai Songjiang</t>
  </si>
  <si>
    <t>Jilin - Songjiang Shanghai</t>
  </si>
  <si>
    <t>China, Yabuli</t>
  </si>
  <si>
    <t>Jilin - Yabuli</t>
  </si>
  <si>
    <t>Jilin - Yabuli West</t>
  </si>
  <si>
    <t>Daminghu - Cangzhou</t>
  </si>
  <si>
    <t>Jinan - Cangzhou</t>
  </si>
  <si>
    <t>Daminghu - Xingtai</t>
  </si>
  <si>
    <t>Jinan East - Hefei</t>
  </si>
  <si>
    <t>China, Panjin</t>
  </si>
  <si>
    <t>Jinan - Panjin</t>
  </si>
  <si>
    <t>China, Jincheng</t>
  </si>
  <si>
    <t>Jincheng East - Shanghai Hongqiao</t>
  </si>
  <si>
    <t>Jincheng - Shanghai Hongqiao Airport</t>
  </si>
  <si>
    <t>China, Jingdezhen</t>
  </si>
  <si>
    <t>Jingdezhen North - Dexing</t>
  </si>
  <si>
    <t>Jingdezhen North - Jinhua South</t>
  </si>
  <si>
    <t>Jingdezhen North - Shanghai</t>
  </si>
  <si>
    <t>Jingdezhen North - Shanghai Songjiang</t>
  </si>
  <si>
    <t>Jingdezhen - Songjiang Shanghai</t>
  </si>
  <si>
    <t>Jingdezhen North - Wenzhou</t>
  </si>
  <si>
    <t>Jingdezhen North - Xiamen North</t>
  </si>
  <si>
    <t>Jinhua South - Xuancheng</t>
  </si>
  <si>
    <t>Jinhua - Xuancheng</t>
  </si>
  <si>
    <t>China, Anshun</t>
  </si>
  <si>
    <t>Jinhua - Anshun</t>
  </si>
  <si>
    <t>Jinhua - Anshun West</t>
  </si>
  <si>
    <t>Jinhua - Guanling</t>
  </si>
  <si>
    <t>Jinhua South - Fuding</t>
  </si>
  <si>
    <t>Jinhua - Fuding</t>
  </si>
  <si>
    <t>Jinhua - Huaihua</t>
  </si>
  <si>
    <t>Jinhua - Huaihua South</t>
  </si>
  <si>
    <t>Jinhua South - Jiujiang</t>
  </si>
  <si>
    <t>Jinhua - Jiujiang</t>
  </si>
  <si>
    <t>Jinhua South - Langxi South</t>
  </si>
  <si>
    <t>Jinhua - Xuanzhou</t>
  </si>
  <si>
    <t>Jinhua South - Yancheng</t>
  </si>
  <si>
    <t>Jinhua - Yancheng</t>
  </si>
  <si>
    <t>Jinhua - Zhangjiagang</t>
  </si>
  <si>
    <t>Jinhua - Zhuzhou</t>
  </si>
  <si>
    <t>China, Jinzhou</t>
  </si>
  <si>
    <t>Jinzhou - Cangzhou</t>
  </si>
  <si>
    <t>Jinzhou - Guangzhoubaiyun</t>
  </si>
  <si>
    <t>Jinzhou - Huaxi</t>
  </si>
  <si>
    <t>Jinzhou South - Huludao North</t>
  </si>
  <si>
    <t>Jinzhou - Nanjing</t>
  </si>
  <si>
    <t>Jinzhou North - Panjin</t>
  </si>
  <si>
    <t>Jinzhou - Panjin</t>
  </si>
  <si>
    <t>Jishou - Shanghai Songjiang</t>
  </si>
  <si>
    <t>Jishou - Songjiang Shanghai</t>
  </si>
  <si>
    <t>Jiujiang - Shanghai Hongqiao</t>
  </si>
  <si>
    <t>Jiujiang - Shanghai Hongqiao Airport</t>
  </si>
  <si>
    <t>China, Jiuquan</t>
  </si>
  <si>
    <t>Jiuquan - Taian</t>
  </si>
  <si>
    <t>Kaifeng - Heshan</t>
  </si>
  <si>
    <t>Kaifeng - Linyi East</t>
  </si>
  <si>
    <t>Kaifeng - Linyi</t>
  </si>
  <si>
    <t>China, Yibin</t>
  </si>
  <si>
    <t>Kaifeng - Yibin</t>
  </si>
  <si>
    <t>Songchenglu - Yibin</t>
  </si>
  <si>
    <t>China, Kaili City</t>
  </si>
  <si>
    <t>Kaili City - Beijing</t>
  </si>
  <si>
    <t>Kaili South - Beijing West</t>
  </si>
  <si>
    <t>Kaili - Beijing West</t>
  </si>
  <si>
    <t>China, Kunming</t>
  </si>
  <si>
    <t>Kunming - Baoding</t>
  </si>
  <si>
    <t>Kunming - Zhenyuan Guizhou</t>
  </si>
  <si>
    <t>Kunming - Huade</t>
  </si>
  <si>
    <t>China, Huanan</t>
  </si>
  <si>
    <t>Kunming South - Gejiu</t>
  </si>
  <si>
    <t>Kunming - Gejiu</t>
  </si>
  <si>
    <t>Kunming - Huanan</t>
  </si>
  <si>
    <t>China, Jinchengjiang</t>
  </si>
  <si>
    <t>Kunming South - Luohuang South</t>
  </si>
  <si>
    <t>Kunming - Jinchengjiang</t>
  </si>
  <si>
    <t>Kunming South - Longchang North</t>
  </si>
  <si>
    <t>Kunming - Longchang</t>
  </si>
  <si>
    <t>Kunming South - Guian</t>
  </si>
  <si>
    <t>Kunming - Qingzhen</t>
  </si>
  <si>
    <t>China, Yanji</t>
  </si>
  <si>
    <t>Kunming - Yanbian</t>
  </si>
  <si>
    <t>Kunming - Yanji</t>
  </si>
  <si>
    <t>China, Huiyang District</t>
  </si>
  <si>
    <t>Kunshan South - Huiyang</t>
  </si>
  <si>
    <t>Kunshan - Huiyang District</t>
  </si>
  <si>
    <t>Kunshan South - Huizhou North</t>
  </si>
  <si>
    <t>Kunshan - Jiangbei</t>
  </si>
  <si>
    <t>Kunshan - Jiangyuan</t>
  </si>
  <si>
    <t>Kunshan - Pujiangzhen</t>
  </si>
  <si>
    <t>China, Lanshan</t>
  </si>
  <si>
    <t>Lanshan - Quanzhou</t>
  </si>
  <si>
    <t>China, Bengbu</t>
  </si>
  <si>
    <t>Lanzhou West - Bengbu</t>
  </si>
  <si>
    <t>Lanzhou West - Bengbu South</t>
  </si>
  <si>
    <t>Lanzhou - Bengbu</t>
  </si>
  <si>
    <t>Lanzhou - Huade</t>
  </si>
  <si>
    <t>Lanzhou - Pujiangzhen</t>
  </si>
  <si>
    <t>Lanzhou West - Shanghai South</t>
  </si>
  <si>
    <t>China, Leshan</t>
  </si>
  <si>
    <t>China, Dazu Chongqing</t>
  </si>
  <si>
    <t>Leshan - Dazu Chongqing</t>
  </si>
  <si>
    <t>Leshan - Rongchang North</t>
  </si>
  <si>
    <t>Leshan - Hong Kong Island</t>
  </si>
  <si>
    <t>Leshan - Hong Kong West Kowloon</t>
  </si>
  <si>
    <t>Leshan - Xiamen</t>
  </si>
  <si>
    <t>Leshan - Xiamen North</t>
  </si>
  <si>
    <t>Hong Kong, Kowloon</t>
  </si>
  <si>
    <t>Leshan - Kowloon</t>
  </si>
  <si>
    <t>China, Lhasa</t>
  </si>
  <si>
    <t>Lhasa Tibet - Nanjing</t>
  </si>
  <si>
    <t>Lhasa - Nanjing</t>
  </si>
  <si>
    <t>Lianyungang - Fuyang</t>
  </si>
  <si>
    <t>Lianyungang - Fuyang Anhui</t>
  </si>
  <si>
    <t>China, Haining</t>
  </si>
  <si>
    <t>Lianyungang - Haining</t>
  </si>
  <si>
    <t>Lianyungang - Harbin</t>
  </si>
  <si>
    <t>Lianyungang - Harbin West</t>
  </si>
  <si>
    <t>Lianyungang - Pujiangzhen</t>
  </si>
  <si>
    <t>Lianyungang - Qujing</t>
  </si>
  <si>
    <t>Lianyungang - Shanghai South</t>
  </si>
  <si>
    <t>China, Tangshan</t>
  </si>
  <si>
    <t>Lianyungang - Tangshan</t>
  </si>
  <si>
    <t>Lianyungang - Pingyang</t>
  </si>
  <si>
    <t>Lianyungang - Wenzhou</t>
  </si>
  <si>
    <t>Lianyungang - Wenzhou North</t>
  </si>
  <si>
    <t>Lianyungang - Wenzhou South</t>
  </si>
  <si>
    <t>Lianyungang East - Xian</t>
  </si>
  <si>
    <t>Lianyungang - Xinyang</t>
  </si>
  <si>
    <t>Lianyungang - Xinyang East</t>
  </si>
  <si>
    <t>Lianyungang - Xunxian</t>
  </si>
  <si>
    <t>Liaoning - Huizhou</t>
  </si>
  <si>
    <t>Liaoning - Jiangbei</t>
  </si>
  <si>
    <t>Liaoning - Jiangjin</t>
  </si>
  <si>
    <t>Liaoning - Jiangxia</t>
  </si>
  <si>
    <t>Liaoning - Jiangyuan</t>
  </si>
  <si>
    <t>China, Linfen</t>
  </si>
  <si>
    <t>Liaoning - Linfen</t>
  </si>
  <si>
    <t>Liaoning - Songjiang Shanghai</t>
  </si>
  <si>
    <t>Liaoning - Suihua</t>
  </si>
  <si>
    <t>China, Tongzhou Jiangsu</t>
  </si>
  <si>
    <t>Liaoning - Tongzhou Jiangsu</t>
  </si>
  <si>
    <t>Liaoning - Zhangjiakou</t>
  </si>
  <si>
    <t>China, Sanmenxia</t>
  </si>
  <si>
    <t>Linfen - Sanmenxia</t>
  </si>
  <si>
    <t>China, Lufeng Guangdong</t>
  </si>
  <si>
    <t>Lufeng Guangdong - Hong Kong Island</t>
  </si>
  <si>
    <t>Lufeng Guangdong - Futian Shenzhen</t>
  </si>
  <si>
    <t>Lufeng Guangdong - Shenzhen</t>
  </si>
  <si>
    <t>Lufeng Guangdong - Shenzhen North</t>
  </si>
  <si>
    <t>Lufeng Guangdong - Kowloon</t>
  </si>
  <si>
    <t>Maoming - Heilongjiang</t>
  </si>
  <si>
    <t>Maoming - Xunxian</t>
  </si>
  <si>
    <t>China, Yichun Jiangxi</t>
  </si>
  <si>
    <t>Maoming - Yichun Jiangxi</t>
  </si>
  <si>
    <t>China, Yueyang</t>
  </si>
  <si>
    <t>Maoming - Yueyang</t>
  </si>
  <si>
    <t>Maoming - Yueyang East</t>
  </si>
  <si>
    <t>Meizhou West - Hong Kong West Kowloon</t>
  </si>
  <si>
    <t>Meizhou - Hong Kong West Kowloon</t>
  </si>
  <si>
    <t>China, Mianning</t>
  </si>
  <si>
    <t>Guanzhaishan South - Shenzhen North</t>
  </si>
  <si>
    <t>Mianning - Shenzhen</t>
  </si>
  <si>
    <t>Nanchang - Harbin West</t>
  </si>
  <si>
    <t>Nanjing - Hangzhou West</t>
  </si>
  <si>
    <t>Nanjing South - Jieshou South</t>
  </si>
  <si>
    <t>Nanjing - Jieshou</t>
  </si>
  <si>
    <t>Nanjing - Jieshoushi</t>
  </si>
  <si>
    <t>Nanjing South - Loudi South</t>
  </si>
  <si>
    <t>Nanjing South - Pingyao Ancient City</t>
  </si>
  <si>
    <t>China, Tibet</t>
  </si>
  <si>
    <t>Nanjing - Tibet</t>
  </si>
  <si>
    <t>Nanjing South - Zhangjiagang</t>
  </si>
  <si>
    <t>Nanjing - Zhangjiagang</t>
  </si>
  <si>
    <t>Nanjing South - Zibo</t>
  </si>
  <si>
    <t>Nanjing South - Zibo North</t>
  </si>
  <si>
    <t>Nanning - Guangzhoubaiyun</t>
  </si>
  <si>
    <t>China, Qinzhou</t>
  </si>
  <si>
    <t>Nanning - Qinzhou</t>
  </si>
  <si>
    <t>China, Nanping</t>
  </si>
  <si>
    <t>Nanping - Shenzhen</t>
  </si>
  <si>
    <t>Nanpingshi - Shenzhen North</t>
  </si>
  <si>
    <t>China, Nantong</t>
  </si>
  <si>
    <t>Nantong - Gaocheng</t>
  </si>
  <si>
    <t>Nantong - Gaocheng South</t>
  </si>
  <si>
    <t>Nantong - Shanghai Songjiang</t>
  </si>
  <si>
    <t>Nantong - Songjiang Shanghai</t>
  </si>
  <si>
    <t>China, Nanyang</t>
  </si>
  <si>
    <t>Nanyang - Baoding</t>
  </si>
  <si>
    <t>Nanyang - Changzhi</t>
  </si>
  <si>
    <t>Nanyang - Changzhi North</t>
  </si>
  <si>
    <t>China, Hengyang</t>
  </si>
  <si>
    <t>Nanyang - Hengyang</t>
  </si>
  <si>
    <t>Nanyang - Jiangbei</t>
  </si>
  <si>
    <t>Nanyang - Jiangjin</t>
  </si>
  <si>
    <t>Nanyang - Jiangyuan</t>
  </si>
  <si>
    <t>Nanyang - Shanghai Songjiang</t>
  </si>
  <si>
    <t>Nanyang - Songjiang Shanghai</t>
  </si>
  <si>
    <t>China, Neijiang</t>
  </si>
  <si>
    <t>Neijiang North - Fushun</t>
  </si>
  <si>
    <t>Neijiang - Fushun</t>
  </si>
  <si>
    <t>Neijiang North - Zigong</t>
  </si>
  <si>
    <t>China, Yantan</t>
  </si>
  <si>
    <t>Neijiang North - Yantan</t>
  </si>
  <si>
    <t>Neijiang - Yantan</t>
  </si>
  <si>
    <t>Ningbo - Pujiangzhen</t>
  </si>
  <si>
    <t>Ningbo - Qujing</t>
  </si>
  <si>
    <t>Ningde - Quanzhou</t>
  </si>
  <si>
    <t>Ningde - Xihu</t>
  </si>
  <si>
    <t>Panjin - Jiangning</t>
  </si>
  <si>
    <t>Panjin - Jiangsu</t>
  </si>
  <si>
    <t>Panjin - Nanjing</t>
  </si>
  <si>
    <t>Panjin - Nanjing South</t>
  </si>
  <si>
    <t>China, Pingliang</t>
  </si>
  <si>
    <t>Pingliang - Huashan</t>
  </si>
  <si>
    <t>China, Pingxiang</t>
  </si>
  <si>
    <t>Pingxiang North - Shanghai Hongqiao</t>
  </si>
  <si>
    <t>Pingyao Ancient City - Chongqing North</t>
  </si>
  <si>
    <t>Pingyao - Chongqing</t>
  </si>
  <si>
    <t>China, Pujiang</t>
  </si>
  <si>
    <t>Pujiang - Shanghai Hongqiao Airport</t>
  </si>
  <si>
    <t>Pujiangzhen - Anhui</t>
  </si>
  <si>
    <t>Pujiangzhen - Beijing</t>
  </si>
  <si>
    <t>Pujiangzhen - Changzhou</t>
  </si>
  <si>
    <t>Pujiangzhen - Fuding</t>
  </si>
  <si>
    <t>Pujiangzhen - Fujian</t>
  </si>
  <si>
    <t>Pujiangzhen - Fuyang Anhui</t>
  </si>
  <si>
    <t>Pujiangzhen - Fuzhou</t>
  </si>
  <si>
    <t>Pujiangzhen - Gansu</t>
  </si>
  <si>
    <t>Pujiangzhen - Henan</t>
  </si>
  <si>
    <t>China, Huaian</t>
  </si>
  <si>
    <t>Pujiangzhen - Huaian</t>
  </si>
  <si>
    <t>Pujiangzhen - Huainan</t>
  </si>
  <si>
    <t>China, Huanggang</t>
  </si>
  <si>
    <t>Pujiangzhen - Huanggang</t>
  </si>
  <si>
    <t>Pujiangzhen - Huangshan</t>
  </si>
  <si>
    <t>Pujiangzhen - Huashan</t>
  </si>
  <si>
    <t>Pujiangzhen - Jiangning</t>
  </si>
  <si>
    <t>Pujiangzhen - Jiangsu</t>
  </si>
  <si>
    <t>Pujiangzhen - Jinjiang</t>
  </si>
  <si>
    <t>Pujiangzhen - Kaili City</t>
  </si>
  <si>
    <t>Pujiangzhen - Kunshan</t>
  </si>
  <si>
    <t>Pujiangzhen - Lanshan</t>
  </si>
  <si>
    <t>Pujiangzhen - Lanzhou</t>
  </si>
  <si>
    <t>Pujiangzhen - Loudi</t>
  </si>
  <si>
    <t>China, Luoyang</t>
  </si>
  <si>
    <t>Pujiangzhen - Luoyang</t>
  </si>
  <si>
    <t>China, Maanshan</t>
  </si>
  <si>
    <t>Pujiangzhen - Maanshan</t>
  </si>
  <si>
    <t>Pujiangzhen - Nanjing</t>
  </si>
  <si>
    <t>Pujiangzhen - Ningbo</t>
  </si>
  <si>
    <t>China, Pingshan Shenzhen</t>
  </si>
  <si>
    <t>Pujiangzhen - Pingshan Shenzhen</t>
  </si>
  <si>
    <t>China, Qichun</t>
  </si>
  <si>
    <t>Pujiangzhen - Qichun</t>
  </si>
  <si>
    <t>Pujiangzhen - Quanzhou</t>
  </si>
  <si>
    <t>Pujiangzhen - Shaanxi</t>
  </si>
  <si>
    <t>Pujiangzhen - Shangqiu</t>
  </si>
  <si>
    <t>China, Shunchang</t>
  </si>
  <si>
    <t>Pujiangzhen - Shunchang</t>
  </si>
  <si>
    <t>Pujiangzhen - Suzhou</t>
  </si>
  <si>
    <t>Pujiangzhen - Taizhou Zhejiang</t>
  </si>
  <si>
    <t>Pujiangzhen - Tianshui</t>
  </si>
  <si>
    <t>Pujiangzhen - Tongzhou Jiangsu</t>
  </si>
  <si>
    <t>Pujiangzhen - Wenzhou</t>
  </si>
  <si>
    <t>Pujiangzhen - Wuhu</t>
  </si>
  <si>
    <t>Pujiangzhen - Wuxi Jiangsu</t>
  </si>
  <si>
    <t>China, Wuyishan Fujian</t>
  </si>
  <si>
    <t>Pujiangzhen - Wuyishan Fujian</t>
  </si>
  <si>
    <t>Pujiangzhen - Xian</t>
  </si>
  <si>
    <t>Pujiangzhen - Xigu</t>
  </si>
  <si>
    <t>Pujiangzhen - Xinmin</t>
  </si>
  <si>
    <t>Pujiangzhen - Xuanzhou</t>
  </si>
  <si>
    <t>China, Xuzhou</t>
  </si>
  <si>
    <t>Pujiangzhen - Xuzhou</t>
  </si>
  <si>
    <t>Pujiangzhen - Yiwu</t>
  </si>
  <si>
    <t>China, Yuhang</t>
  </si>
  <si>
    <t>Pujiangzhen - Yuhang</t>
  </si>
  <si>
    <t>Pujiangzhen - Yutian</t>
  </si>
  <si>
    <t>Pujiangzhen - Yuzhong</t>
  </si>
  <si>
    <t>Pujiangzhen - Zengcheng</t>
  </si>
  <si>
    <t>Pujiangzhen - Zhengzhou</t>
  </si>
  <si>
    <t>China, Puning</t>
  </si>
  <si>
    <t>Puning - Guangdong</t>
  </si>
  <si>
    <t>Puning - Hong Kong Island</t>
  </si>
  <si>
    <t>Puning - Kowloon</t>
  </si>
  <si>
    <t>China, Putian</t>
  </si>
  <si>
    <t>Putian - Xiamen</t>
  </si>
  <si>
    <t>Putian - Xiamen North</t>
  </si>
  <si>
    <t>Qichun South - Huanggang West</t>
  </si>
  <si>
    <t>Qichun - Huanggang</t>
  </si>
  <si>
    <t>Qichun South - Wuhan East</t>
  </si>
  <si>
    <t>Qichun - Jiaocheng</t>
  </si>
  <si>
    <t>Qichun South - Hankou</t>
  </si>
  <si>
    <t>Qichun South - Tianhe Airport</t>
  </si>
  <si>
    <t>Qichun South - Wuchang</t>
  </si>
  <si>
    <t>Qichun South - Wuhan</t>
  </si>
  <si>
    <t>Qichun - Wuhan</t>
  </si>
  <si>
    <t>Qichun South - Zhangjiagang</t>
  </si>
  <si>
    <t>Qichun - Zhangjiagang</t>
  </si>
  <si>
    <t>China, Qindu</t>
  </si>
  <si>
    <t>Qindu - Shaanxi</t>
  </si>
  <si>
    <t>Qindu - Xian</t>
  </si>
  <si>
    <t>Xianyang North - Xian North</t>
  </si>
  <si>
    <t>Qingcheng Mountain - Leshan</t>
  </si>
  <si>
    <t>Qingchengshan - Leshan</t>
  </si>
  <si>
    <t>China, Qingdao</t>
  </si>
  <si>
    <t>Qingdao North - Funing East</t>
  </si>
  <si>
    <t>Qingdao - Beidaihe</t>
  </si>
  <si>
    <t>Qingdao - Funing East</t>
  </si>
  <si>
    <t>Hongdao - Beijing South</t>
  </si>
  <si>
    <t>Qingdao North - Beijing Fengtai</t>
  </si>
  <si>
    <t>Qingdao - Gansu</t>
  </si>
  <si>
    <t>Hongdao - Gaocheng South</t>
  </si>
  <si>
    <t>Qingdao North - Gaocheng South</t>
  </si>
  <si>
    <t>Qingdao - Gaocheng</t>
  </si>
  <si>
    <t>Qingdao - Guangxi</t>
  </si>
  <si>
    <t>Hongdao - Guangzhou South</t>
  </si>
  <si>
    <t>Qingdao - Guiyang North</t>
  </si>
  <si>
    <t>Qingdao - Guzhang</t>
  </si>
  <si>
    <t>Qingdao North - Haining</t>
  </si>
  <si>
    <t>Qingdao - Haining</t>
  </si>
  <si>
    <t>Qingdao North - Hangzhou West</t>
  </si>
  <si>
    <t>Qingdao North - Harbin</t>
  </si>
  <si>
    <t>Qingdao North - Linyi East</t>
  </si>
  <si>
    <t>Qingdao - Heshan</t>
  </si>
  <si>
    <t>Qingdao North - Datong South</t>
  </si>
  <si>
    <t>Qingdao - Huairen County</t>
  </si>
  <si>
    <t>Qingdao - Huaxi</t>
  </si>
  <si>
    <t>Qingdao North - Huludao</t>
  </si>
  <si>
    <t>Qingdao North - Huludao North</t>
  </si>
  <si>
    <t>Qingdao - Huludao</t>
  </si>
  <si>
    <t>Qingdao - Jiangjin</t>
  </si>
  <si>
    <t>Qingdao - Jiangning</t>
  </si>
  <si>
    <t>Qingdao - Jiangxia</t>
  </si>
  <si>
    <t>Qingdao - Jiangyuan</t>
  </si>
  <si>
    <t>Qingdao - Jiangzhou</t>
  </si>
  <si>
    <t>Qingdao - Jiaocheng</t>
  </si>
  <si>
    <t>Qingdao - Jiaxiang</t>
  </si>
  <si>
    <t>Qingdao North - Jiujiang</t>
  </si>
  <si>
    <t>Qingdao - Jiujiang</t>
  </si>
  <si>
    <t>Qingdao North - Lanzhou West</t>
  </si>
  <si>
    <t>Qingdao - Lanzhou West</t>
  </si>
  <si>
    <t>Hongdao - Linyi North</t>
  </si>
  <si>
    <t>Qingdao North - Liuzhou</t>
  </si>
  <si>
    <t>Qingdao - Liuzhou</t>
  </si>
  <si>
    <t>Hongdao - Nanjing South</t>
  </si>
  <si>
    <t>Qingdao West - Nanjing</t>
  </si>
  <si>
    <t>Qingdao West - Nanjing South</t>
  </si>
  <si>
    <t>Qingdao - Saihan</t>
  </si>
  <si>
    <t>Qingdao - Shuangliu</t>
  </si>
  <si>
    <t>Hongdao - Jining North</t>
  </si>
  <si>
    <t>Qingdao North - Jining North</t>
  </si>
  <si>
    <t>Qingdao - Sihui</t>
  </si>
  <si>
    <t>China, Wendeng</t>
  </si>
  <si>
    <t>Qingdao North - Weihai Nanhai</t>
  </si>
  <si>
    <t>Qingdao - Wendeng</t>
  </si>
  <si>
    <t>Hongdao - Hankou</t>
  </si>
  <si>
    <t>Qingdao - Xigu</t>
  </si>
  <si>
    <t>Qingdao - Xihu</t>
  </si>
  <si>
    <t>Hongdao - Xinxiang East</t>
  </si>
  <si>
    <t>Hongdao - Xinyang East</t>
  </si>
  <si>
    <t>Qingdao North - Xinyang East</t>
  </si>
  <si>
    <t>Qingdao - Xinyang</t>
  </si>
  <si>
    <t>Qingdao - Xinyang East</t>
  </si>
  <si>
    <t>Qingdao - Xinyi</t>
  </si>
  <si>
    <t>Qingdao - Xunxian</t>
  </si>
  <si>
    <t>Qingdao - Yijiang</t>
  </si>
  <si>
    <t>Qingdao North - Jining East</t>
  </si>
  <si>
    <t>Qingdao - Jining East</t>
  </si>
  <si>
    <t>Qingdao - Yunxian</t>
  </si>
  <si>
    <t>Hongdao - Zhangjiagang</t>
  </si>
  <si>
    <t>Qingdao North - Zhangjiagang</t>
  </si>
  <si>
    <t>Qingdao - Zhangjiagang</t>
  </si>
  <si>
    <t>Hongdao - Zhengzhou Hangkonggang</t>
  </si>
  <si>
    <t>Qingdao North - Zhengzhou Hangkonggang</t>
  </si>
  <si>
    <t>Qinghai - Beijing</t>
  </si>
  <si>
    <t>Qinghai - Changchun</t>
  </si>
  <si>
    <t>Qinghai - Chengdu</t>
  </si>
  <si>
    <t>China, Dunhuang</t>
  </si>
  <si>
    <t>Qinghai - Dunhuang</t>
  </si>
  <si>
    <t>Qinghai - Gansu</t>
  </si>
  <si>
    <t>Qinghai - Guangdong</t>
  </si>
  <si>
    <t>Qinghai - Guangzhou</t>
  </si>
  <si>
    <t>Qinghai - Harbin</t>
  </si>
  <si>
    <t>Qinghai - Hebei</t>
  </si>
  <si>
    <t>Qinghai - Heilongjiang</t>
  </si>
  <si>
    <t>Qinghai - Henan</t>
  </si>
  <si>
    <t>Qinghai - Hohhot</t>
  </si>
  <si>
    <t>Qinghai - Huaxi</t>
  </si>
  <si>
    <t>Qinghai - Hunan</t>
  </si>
  <si>
    <t>Qinghai - Jiangning</t>
  </si>
  <si>
    <t>Qinghai - Jiangsu</t>
  </si>
  <si>
    <t>Qinghai - Jiangzhou</t>
  </si>
  <si>
    <t>Qinghai - Jiaocheng</t>
  </si>
  <si>
    <t>Qinghai - Jinan</t>
  </si>
  <si>
    <t>Qinghai - Jiuquan</t>
  </si>
  <si>
    <t>Qinghai - Kaifeng</t>
  </si>
  <si>
    <t>Qinghai - Liaoning</t>
  </si>
  <si>
    <t>China, Mianyang</t>
  </si>
  <si>
    <t>Qinghai - Mianyang</t>
  </si>
  <si>
    <t>Qinghai - Shanghai Hongqiao Airport</t>
  </si>
  <si>
    <t>Qinghai - Shenyang</t>
  </si>
  <si>
    <t>Qinghai - Shuangliu</t>
  </si>
  <si>
    <t>Qinghai - Sichuan</t>
  </si>
  <si>
    <t>Qinghai - Taian</t>
  </si>
  <si>
    <t>Qinghai - Tianshui</t>
  </si>
  <si>
    <t>Qinghai - Wenjiang</t>
  </si>
  <si>
    <t>Qinghai - Wuhan</t>
  </si>
  <si>
    <t>Qinghai - Xian</t>
  </si>
  <si>
    <t>Qinghai - Xigu</t>
  </si>
  <si>
    <t>Qinghai - Xinjiang</t>
  </si>
  <si>
    <t>Qinghai - Xuzhou</t>
  </si>
  <si>
    <t>Qinghai - Zhengzhou</t>
  </si>
  <si>
    <t>Qinghe - Xuanhua North</t>
  </si>
  <si>
    <t>Qingyuan - Guangdong</t>
  </si>
  <si>
    <t>Qingyuan - Hunan</t>
  </si>
  <si>
    <t>Guian - Beijing West</t>
  </si>
  <si>
    <t>Qingzhen - Beijing</t>
  </si>
  <si>
    <t>Guian - Changsha South</t>
  </si>
  <si>
    <t>Qingzhen - Changsha</t>
  </si>
  <si>
    <t>Guian - Chongqing West</t>
  </si>
  <si>
    <t>Qingzhen - Chongqing</t>
  </si>
  <si>
    <t>Guian - Jinyangnan</t>
  </si>
  <si>
    <t>Qingzhen - Guzhang</t>
  </si>
  <si>
    <t>Guian - Hangzhou East</t>
  </si>
  <si>
    <t>Qingzhen - Hangzhou</t>
  </si>
  <si>
    <t>Guian - Huaihua South</t>
  </si>
  <si>
    <t>Qingzhen - Huaihua</t>
  </si>
  <si>
    <t>Qingzhen - Hunan</t>
  </si>
  <si>
    <t>China, Jiangan</t>
  </si>
  <si>
    <t>Qingzhen - Jiangan</t>
  </si>
  <si>
    <t>Guian - Jinhua</t>
  </si>
  <si>
    <t>Qingzhen - Jinhua</t>
  </si>
  <si>
    <t>Guian - Kaili South</t>
  </si>
  <si>
    <t>Qingzhen - Kaili City</t>
  </si>
  <si>
    <t>Guian - Kunming South</t>
  </si>
  <si>
    <t>Qingzhen - Kunming</t>
  </si>
  <si>
    <t>China, Liupanshui</t>
  </si>
  <si>
    <t>Guian - Liupanshui</t>
  </si>
  <si>
    <t>Guian - Liupanshuidong</t>
  </si>
  <si>
    <t>Qingzhen - Liupanshui</t>
  </si>
  <si>
    <t>Guian - Nanchang West</t>
  </si>
  <si>
    <t>Qingzhen - Nanchang</t>
  </si>
  <si>
    <t>China, Nanming</t>
  </si>
  <si>
    <t>Guian - Shuanglongnan</t>
  </si>
  <si>
    <t>Qingzhen - Nanming</t>
  </si>
  <si>
    <t>Guian - Qujing North</t>
  </si>
  <si>
    <t>Qingzhen - Qujing</t>
  </si>
  <si>
    <t>Guian - Shanghai Hongqiao</t>
  </si>
  <si>
    <t>Qingzhen - Shanghai</t>
  </si>
  <si>
    <t>Qingzhen - Shanghai Hongqiao Airport</t>
  </si>
  <si>
    <t>Guian - Shangrao</t>
  </si>
  <si>
    <t>Qingzhen - Shangrao</t>
  </si>
  <si>
    <t>Guian - Shijiazhuang</t>
  </si>
  <si>
    <t>Qingzhen - Shijiazhuang</t>
  </si>
  <si>
    <t>China, Taiyuan</t>
  </si>
  <si>
    <t>Guian - Jinyang</t>
  </si>
  <si>
    <t>Qingzhen - Taiyuan</t>
  </si>
  <si>
    <t>Qingzhen - Tianxin</t>
  </si>
  <si>
    <t>China, Tongren</t>
  </si>
  <si>
    <t>Guian - Tongren</t>
  </si>
  <si>
    <t>Qingzhen - Tongren</t>
  </si>
  <si>
    <t>Qingzhen - Xihu</t>
  </si>
  <si>
    <t>Guian - Luowansanjiang</t>
  </si>
  <si>
    <t>Qingzhen - Xishui</t>
  </si>
  <si>
    <t>China, Yunnan</t>
  </si>
  <si>
    <t>Qingzhen - Yunnan</t>
  </si>
  <si>
    <t>Qingzhen - Zhejiang</t>
  </si>
  <si>
    <t>Qinhuangdao - Shanghai Hongqiao Airport</t>
  </si>
  <si>
    <t>Qiqihar South - Binhai North</t>
  </si>
  <si>
    <t>Qiqihar South - Binhai West</t>
  </si>
  <si>
    <t>Qiqihar - Binhai</t>
  </si>
  <si>
    <t>Qiqihar South - Daqing East</t>
  </si>
  <si>
    <t>Qiqihar - Daqing</t>
  </si>
  <si>
    <t>Qiqihar - Daqing East</t>
  </si>
  <si>
    <t>China, Huadu</t>
  </si>
  <si>
    <t>Qiqihar - Huadu</t>
  </si>
  <si>
    <t>Qiqihar South - Jiamusi</t>
  </si>
  <si>
    <t>Qiqihar - Jiamusi</t>
  </si>
  <si>
    <t>China, Mudanjiang</t>
  </si>
  <si>
    <t>Qiqihar South - Mudanjiang</t>
  </si>
  <si>
    <t>Qiqihar - Mudanjiang</t>
  </si>
  <si>
    <t>China, Orongen Zizhiqi</t>
  </si>
  <si>
    <t>Qiqihar - Orongen Zizhiqi</t>
  </si>
  <si>
    <t>Qiqihar - Shenzhen</t>
  </si>
  <si>
    <t>Qiqihar - Shenzhen East</t>
  </si>
  <si>
    <t>Qiqihar - Songyuan</t>
  </si>
  <si>
    <t>Qiqihar - Suihua</t>
  </si>
  <si>
    <t>Qiqihar - Xihu</t>
  </si>
  <si>
    <t>Qiqihar - Xunxian</t>
  </si>
  <si>
    <t>Quanzhou - Boluo</t>
  </si>
  <si>
    <t>Quanzhou - Changzhou</t>
  </si>
  <si>
    <t>Quanzhou - Dongcheng South</t>
  </si>
  <si>
    <t>Quanzhou - Dongguan</t>
  </si>
  <si>
    <t>Quanzhou - Hangzhou West</t>
  </si>
  <si>
    <t>Quanzhou - Jiangxi</t>
  </si>
  <si>
    <t>Quanzhou - Jiaxiang</t>
  </si>
  <si>
    <t>Quanzhou - Nanjing South</t>
  </si>
  <si>
    <t>Quanzhou - Shanghai Songjiang</t>
  </si>
  <si>
    <t>Quanzhou - Songjiang Shanghai</t>
  </si>
  <si>
    <t>Quanzhou - Wuxi</t>
  </si>
  <si>
    <t>Quanzhou - Wuxi Jiangsu</t>
  </si>
  <si>
    <t>Quanzhou - Xihu</t>
  </si>
  <si>
    <t>Quanzhou - Kowloon</t>
  </si>
  <si>
    <t>Qujing North - Changsha South</t>
  </si>
  <si>
    <t>Qujing - Changsha</t>
  </si>
  <si>
    <t>China, Lijiang</t>
  </si>
  <si>
    <t>Panzhihua South - Lijiang</t>
  </si>
  <si>
    <t>Renhe - Lijiang</t>
  </si>
  <si>
    <t>China, Nanchong</t>
  </si>
  <si>
    <t>Panzhihua South - Nanchong</t>
  </si>
  <si>
    <t>Renhe - Nanchong</t>
  </si>
  <si>
    <t>China, Rizhao</t>
  </si>
  <si>
    <t>Rizhao West - Shanghai South</t>
  </si>
  <si>
    <t>China, Shandong</t>
  </si>
  <si>
    <t>Qufu East - Jinan East</t>
  </si>
  <si>
    <t>Shanghai South - Feixi</t>
  </si>
  <si>
    <t>Shanghai South - Maanshan East</t>
  </si>
  <si>
    <t>Shanghai South - Xuancheng</t>
  </si>
  <si>
    <t>Shanghai South - Wujin</t>
  </si>
  <si>
    <t>Shanghai South - Fuding</t>
  </si>
  <si>
    <t>Shanghai South - Fuyang West</t>
  </si>
  <si>
    <t>Shanghai South - Fuzhou South</t>
  </si>
  <si>
    <t>Shanghai South - Minqing North</t>
  </si>
  <si>
    <t>Shanghai Hongqiao - Guangzhou East</t>
  </si>
  <si>
    <t>Shanghai South - Guangzhou East</t>
  </si>
  <si>
    <t>Shanghai South - Guiyang North</t>
  </si>
  <si>
    <t>Shanghai Hongqiao - Hangzhou West</t>
  </si>
  <si>
    <t>Shanghai South - Huaian East</t>
  </si>
  <si>
    <t>Shanghai Hongqiao - Huainan South</t>
  </si>
  <si>
    <t>Shanghai South - Huainan South</t>
  </si>
  <si>
    <t>Shanghai South - Shouxian</t>
  </si>
  <si>
    <t>Shanghai South - Huanggang West</t>
  </si>
  <si>
    <t>Shanghai South - Huangshan North</t>
  </si>
  <si>
    <t>Shanghai South - Huashan North</t>
  </si>
  <si>
    <t>Shanghai South - Jiangning West</t>
  </si>
  <si>
    <t>Shanghai South - Quanzhounan</t>
  </si>
  <si>
    <t>Shanghai South - Lanzhou West</t>
  </si>
  <si>
    <t>Shanghai South - Luoyang Longmen</t>
  </si>
  <si>
    <t>Shanghai South - Ningde</t>
  </si>
  <si>
    <t>Shanghai South - Shenzhen Pingshan</t>
  </si>
  <si>
    <t>Shanghai South - Pingxiang North</t>
  </si>
  <si>
    <t>Shanghai Hongqiao - Pingyao Ancient City</t>
  </si>
  <si>
    <t>Shanghai South - Qichun South</t>
  </si>
  <si>
    <t>Shanghai South - Quanzhou</t>
  </si>
  <si>
    <t>Shanghai South - Quanzhou East</t>
  </si>
  <si>
    <t>Shanghai South - Shenzhen North</t>
  </si>
  <si>
    <t>Shanghai South - Jianxi</t>
  </si>
  <si>
    <t>Shanghai South - Taizhou</t>
  </si>
  <si>
    <t>Shanghai South - Tianshui South</t>
  </si>
  <si>
    <t>Shanghai South - Nantong West</t>
  </si>
  <si>
    <t>Shanghai South - Pingyang</t>
  </si>
  <si>
    <t>Shanghai South - Wenzhou North</t>
  </si>
  <si>
    <t>Shanghai South - Wenzhou South</t>
  </si>
  <si>
    <t>Shanghai South - Wuyishan North</t>
  </si>
  <si>
    <t>Shanghai South - Xian North</t>
  </si>
  <si>
    <t>Shanghai South - Langxi South</t>
  </si>
  <si>
    <t>Shanghai South - Guanyin Airport</t>
  </si>
  <si>
    <t>Shanghai South - Xuzhou East</t>
  </si>
  <si>
    <t>Shanghai Hongqiao - Hengdian</t>
  </si>
  <si>
    <t>Shanghai South - Hengdian</t>
  </si>
  <si>
    <t>Shanghai South - Linping South</t>
  </si>
  <si>
    <t>Shanghai South - Wuhu South</t>
  </si>
  <si>
    <t>Shanghai South - Ruian</t>
  </si>
  <si>
    <t>Shanghai South - Shaoxing North</t>
  </si>
  <si>
    <t>Shanghai South - Zhengzhou East</t>
  </si>
  <si>
    <t>Shanghai Hongqiao Airport - Guangzhou East</t>
  </si>
  <si>
    <t>Shanghai Hongqiao Airport - Danyang North</t>
  </si>
  <si>
    <t>Shanghai Hongqiao Airport - Ruian</t>
  </si>
  <si>
    <t>Shanghai Hongqiao Airport - Yuyao North</t>
  </si>
  <si>
    <t>China, Shanxi</t>
  </si>
  <si>
    <t>Taigu West - Beijing Fengtai</t>
  </si>
  <si>
    <t>Shenyang North - Linfen West</t>
  </si>
  <si>
    <t>Shenyang - Zhangjiakou</t>
  </si>
  <si>
    <t>Shenzhen East - Chongqing West</t>
  </si>
  <si>
    <t>Shenzhen North - Shanghai South</t>
  </si>
  <si>
    <t>Shenzhen North - Taiyuan South</t>
  </si>
  <si>
    <t>Shenzhen North - Xinyu North</t>
  </si>
  <si>
    <t>China, Yichang</t>
  </si>
  <si>
    <t>Shenzhen - Yichang East</t>
  </si>
  <si>
    <t>Shiyan - Cangzhou</t>
  </si>
  <si>
    <t>China, Shizhong</t>
  </si>
  <si>
    <t>Neijiang East - Zigong</t>
  </si>
  <si>
    <t>China, Siping</t>
  </si>
  <si>
    <t>Siping East - Mudanjiang</t>
  </si>
  <si>
    <t>Siping - Mudanjiang</t>
  </si>
  <si>
    <t>China, Tieling</t>
  </si>
  <si>
    <t>Siping - Tieling</t>
  </si>
  <si>
    <t>Shanghai Songjiang - Xuancheng</t>
  </si>
  <si>
    <t>Shanghai Songjiang - Cangzhou</t>
  </si>
  <si>
    <t>Songjiang Shanghai - Cangzhou</t>
  </si>
  <si>
    <t>Shanghai Songjiang - Dongguan East</t>
  </si>
  <si>
    <t>Songjiang Shanghai - Dongguan</t>
  </si>
  <si>
    <t>Songjiang Shanghai - Funing</t>
  </si>
  <si>
    <t>Songjiang Shanghai - Guangdong</t>
  </si>
  <si>
    <t>Songjiang Shanghai - Hainan</t>
  </si>
  <si>
    <t>Shanghai Songjiang - Huangshan North</t>
  </si>
  <si>
    <t>Songjiang Shanghai - Huangshan</t>
  </si>
  <si>
    <t>Shanghai Songjiang - Huizhou</t>
  </si>
  <si>
    <t>Songjiang Shanghai - Huizhou</t>
  </si>
  <si>
    <t>Songjiang Shanghai - Jiangyuan</t>
  </si>
  <si>
    <t>Shanghai Songjiang - Jishou</t>
  </si>
  <si>
    <t>Songjiang Shanghai - Jishou</t>
  </si>
  <si>
    <t>Shanghai Songjiang - Pingyao Ancient City</t>
  </si>
  <si>
    <t>Songjiang Shanghai - Pingyao</t>
  </si>
  <si>
    <t>Shanghai Songjiang - Qujing</t>
  </si>
  <si>
    <t>Songjiang Shanghai - Qujing</t>
  </si>
  <si>
    <t>Songjiang North - Suzhou</t>
  </si>
  <si>
    <t>Shanghai Songjiang - Langxi South</t>
  </si>
  <si>
    <t>Songjiang Shanghai - Xuanzhou</t>
  </si>
  <si>
    <t>China, Yantai</t>
  </si>
  <si>
    <t>Shanghai Songjiang - Yantai South</t>
  </si>
  <si>
    <t>Songjiang Shanghai - Yantai</t>
  </si>
  <si>
    <t>Songjiang Shanghai - Yuzhong</t>
  </si>
  <si>
    <t>Huanglong Jiuzhai - Chengdu West</t>
  </si>
  <si>
    <t>Songpan - Wenjiang</t>
  </si>
  <si>
    <t>Songyuan - Dalian</t>
  </si>
  <si>
    <t>China, Suifenhe</t>
  </si>
  <si>
    <t>Suifenhe - Harbin East</t>
  </si>
  <si>
    <t>Suifenhe - Heilongjiang</t>
  </si>
  <si>
    <t>Suifenhe - Xunxian</t>
  </si>
  <si>
    <t>Suihua - Beijing</t>
  </si>
  <si>
    <t>Suihua - Beijing Fengtai</t>
  </si>
  <si>
    <t>Suihua - Changchun</t>
  </si>
  <si>
    <t>Suihua - Daqing</t>
  </si>
  <si>
    <t>Suihua - Daqing East</t>
  </si>
  <si>
    <t>Suihua - Qiqihar</t>
  </si>
  <si>
    <t>Suihua - Shenyang</t>
  </si>
  <si>
    <t>Suihua - Shenyang North</t>
  </si>
  <si>
    <t>Suihua - Siping</t>
  </si>
  <si>
    <t>Suihua - Xunxian</t>
  </si>
  <si>
    <t>China, Chengyang</t>
  </si>
  <si>
    <t>Suzhou - Chengyang</t>
  </si>
  <si>
    <t>Suzhou North - Dezhou East</t>
  </si>
  <si>
    <t>Suzhou - Dezhou</t>
  </si>
  <si>
    <t>Suzhou - Dezhou East</t>
  </si>
  <si>
    <t>Suzhou - Hangzhou West</t>
  </si>
  <si>
    <t>Suzhou - Jiangning</t>
  </si>
  <si>
    <t>Suzhou - Jiangning West</t>
  </si>
  <si>
    <t>Suzhou North - Jilin</t>
  </si>
  <si>
    <t>Suzhou - Jilin</t>
  </si>
  <si>
    <t>Suzhou North - Mianyang</t>
  </si>
  <si>
    <t>Suzhou - Mianyang</t>
  </si>
  <si>
    <t>Suzhou - Mingxi</t>
  </si>
  <si>
    <t>Suzhou North - Panjin</t>
  </si>
  <si>
    <t>Suzhou - Panjin</t>
  </si>
  <si>
    <t>Suzhou - Pujiangzhen</t>
  </si>
  <si>
    <t>Suzhou North - Shanghai West</t>
  </si>
  <si>
    <t>China, Shaoshan</t>
  </si>
  <si>
    <t>Suzhou North - Shaoshan South</t>
  </si>
  <si>
    <t>Suzhou - Shaoshan</t>
  </si>
  <si>
    <t>Tacheng - Beijing Airport</t>
  </si>
  <si>
    <t>Beijing Chaoyang - Benxi</t>
  </si>
  <si>
    <t>Tacheng - Benxi</t>
  </si>
  <si>
    <t>Tacheng - Cangzhou</t>
  </si>
  <si>
    <t>Beijing Chaoyang - Changchun</t>
  </si>
  <si>
    <t>Beijing Chaoyang - Changchun West</t>
  </si>
  <si>
    <t>Tacheng - Changchun</t>
  </si>
  <si>
    <t>Beijing Chaoyang - Chengdexian North</t>
  </si>
  <si>
    <t>Tacheng - Chengdu</t>
  </si>
  <si>
    <t>Beijing Chaoyang - Chifeng</t>
  </si>
  <si>
    <t>Tacheng - Chifeng</t>
  </si>
  <si>
    <t>Beijing Chaoyang - Daqing East</t>
  </si>
  <si>
    <t>Tacheng - Daqing</t>
  </si>
  <si>
    <t>Beijing Chaoyang - Fuxin</t>
  </si>
  <si>
    <t>Tacheng - Fuxin</t>
  </si>
  <si>
    <t>Tacheng - Hebei</t>
  </si>
  <si>
    <t>Tacheng - Heilongjiang</t>
  </si>
  <si>
    <t>Beijing Chaoyang - Hunchun</t>
  </si>
  <si>
    <t>Tacheng - Hunchun</t>
  </si>
  <si>
    <t>Beijing Chaoyang - Jiamusi</t>
  </si>
  <si>
    <t>Tacheng - Jiamusi</t>
  </si>
  <si>
    <t>Beijing Chaoyang - Jilin</t>
  </si>
  <si>
    <t>Tacheng - Jilin</t>
  </si>
  <si>
    <t>Beijing Chaoyang - Jinzhou North</t>
  </si>
  <si>
    <t>Tacheng - Jinzhou</t>
  </si>
  <si>
    <t>Tacheng - Liaoning</t>
  </si>
  <si>
    <t>Beijing Chaoyang - Mudanjiang</t>
  </si>
  <si>
    <t>Tacheng - Mudanjiang</t>
  </si>
  <si>
    <t>Beijing Chaoyang - Panjin</t>
  </si>
  <si>
    <t>Tacheng - Panjin</t>
  </si>
  <si>
    <t>Beijing Chaoyang - Qiqihar South</t>
  </si>
  <si>
    <t>Tacheng - Qiqihar</t>
  </si>
  <si>
    <t>Beijing Chaoyang - Shenyang South</t>
  </si>
  <si>
    <t>Tacheng - Sichuan</t>
  </si>
  <si>
    <t>Beijing Chaoyang - Siping East</t>
  </si>
  <si>
    <t>Tacheng - Siping</t>
  </si>
  <si>
    <t>China, Tongliao</t>
  </si>
  <si>
    <t>Beijing Chaoyang - Tongliao</t>
  </si>
  <si>
    <t>Tacheng - Tongliao</t>
  </si>
  <si>
    <t>Tacheng - Sinuiju</t>
  </si>
  <si>
    <t>China, Danzhou</t>
  </si>
  <si>
    <t>Taian - Danzhou</t>
  </si>
  <si>
    <t>Taian - Harbin West</t>
  </si>
  <si>
    <t>Taian - Shandong</t>
  </si>
  <si>
    <t>Taian - Sichuan</t>
  </si>
  <si>
    <t>Taian - Songjiang Shanghai</t>
  </si>
  <si>
    <t>Taian - Xigu</t>
  </si>
  <si>
    <t>Taian - Zhangjiagang</t>
  </si>
  <si>
    <t>Taian Shandong - Harbin</t>
  </si>
  <si>
    <t>Taian Shandong - Heilongjiang</t>
  </si>
  <si>
    <t>Taian Shandong - Xunxian</t>
  </si>
  <si>
    <t>Taian Shandong - Zhangjiagang</t>
  </si>
  <si>
    <t>Taiyuan South - Funing South</t>
  </si>
  <si>
    <t>Taiyuan - Fusui</t>
  </si>
  <si>
    <t>Taiyuan South - Shanghai Songjiang</t>
  </si>
  <si>
    <t>Taiyuan - Songjiang Shanghai</t>
  </si>
  <si>
    <t>China, Xinzhou</t>
  </si>
  <si>
    <t>Taiyuan Shanxi - Xinzhou Shanxi</t>
  </si>
  <si>
    <t>Taiyuan - Xinzhou</t>
  </si>
  <si>
    <t>Taizhou Jiangsu - Pujiangzhen</t>
  </si>
  <si>
    <t>Taizhou Jiangsu - Shanghai Songjiang</t>
  </si>
  <si>
    <t>Taizhou Jiangsu - Songjiang Shanghai</t>
  </si>
  <si>
    <t>Taizhou Zhejiang - Boluo</t>
  </si>
  <si>
    <t>Taizhou Zhejiang - Lanshan</t>
  </si>
  <si>
    <t>China, Luoyuan County</t>
  </si>
  <si>
    <t>Taizhou Zhejiang - Luoyuan County</t>
  </si>
  <si>
    <t>Taizhou - Luoyuan</t>
  </si>
  <si>
    <t>Taizhou Zhejiang - Ningde</t>
  </si>
  <si>
    <t>Taizhou - Ningde</t>
  </si>
  <si>
    <t>Taizhou Zhejiang - Songjiang Shanghai</t>
  </si>
  <si>
    <t>Taizhou - Shanghai Songjiang</t>
  </si>
  <si>
    <t>Taizhou Zhejiang - Wuxi East</t>
  </si>
  <si>
    <t>Tangshan - Chengyang</t>
  </si>
  <si>
    <t>Tangshan - Heze</t>
  </si>
  <si>
    <t>Tangshan - Shanghai Songjiang</t>
  </si>
  <si>
    <t>Tangshan - Songjiang Shanghai</t>
  </si>
  <si>
    <t>Tianjin South - Hangzhou West</t>
  </si>
  <si>
    <t>Tianjin South - Shanghai Hongqiao Airport</t>
  </si>
  <si>
    <t>China, Ulanqab</t>
  </si>
  <si>
    <t>Tianjin - Jining South Inner Mongolia</t>
  </si>
  <si>
    <t>Tianjin - Ulanqab</t>
  </si>
  <si>
    <t>Tieling West - Anshan West</t>
  </si>
  <si>
    <t>Tieling - Anshan</t>
  </si>
  <si>
    <t>Yuping - Kunming</t>
  </si>
  <si>
    <t>Shenfang West - Chengdu East</t>
  </si>
  <si>
    <t>Shenfang West - Shuangliu Airport</t>
  </si>
  <si>
    <t>Pingyang - Guangzhou East</t>
  </si>
  <si>
    <t>Pingyang - Yandangshan</t>
  </si>
  <si>
    <t>Wenzhou North - Yandangshan</t>
  </si>
  <si>
    <t>Wenzhou South - Yandangshan</t>
  </si>
  <si>
    <t>Yueqing East - Yandangshan</t>
  </si>
  <si>
    <t>Hankou - Tianfu Airport</t>
  </si>
  <si>
    <t>Wuhan - Tianfu Airport</t>
  </si>
  <si>
    <t>Wuchang - Datong</t>
  </si>
  <si>
    <t>Wuhan - Changting South</t>
  </si>
  <si>
    <t>Hankou - Zhangjiagang</t>
  </si>
  <si>
    <t>Wuhan - Zhangjiagang</t>
  </si>
  <si>
    <t>China, Wuwei Gansu</t>
  </si>
  <si>
    <t>Wuwei Gansu - Jiayuguan City</t>
  </si>
  <si>
    <t>Wuwei South - Jiayuguan</t>
  </si>
  <si>
    <t>Wuwei - Jiayuguan</t>
  </si>
  <si>
    <t>Wuxi Xinqu - Shanghai South</t>
  </si>
  <si>
    <t>Wuxi East - Taizhou Zhejiang</t>
  </si>
  <si>
    <t>Xiamen - Ganxian North</t>
  </si>
  <si>
    <t>Xiamen North - Gutian Huizhi</t>
  </si>
  <si>
    <t>Xiamen - Gutian Huizhi</t>
  </si>
  <si>
    <t>Xian North - Beijing North</t>
  </si>
  <si>
    <t>Xian South - Beijing Fengtai</t>
  </si>
  <si>
    <t>Xian North - Longchang North</t>
  </si>
  <si>
    <t>Xian - Longchang</t>
  </si>
  <si>
    <t>Xian North - Shanghai South</t>
  </si>
  <si>
    <t>Xian North - Zhangjiagang</t>
  </si>
  <si>
    <t>Xian - Zhangjiagang</t>
  </si>
  <si>
    <t>Xining - Changchun</t>
  </si>
  <si>
    <t>Xining - Changzhou</t>
  </si>
  <si>
    <t>Xining - Chengdu South</t>
  </si>
  <si>
    <t>Xining - Harbin</t>
  </si>
  <si>
    <t>Xining - Hohhot East</t>
  </si>
  <si>
    <t>Xining - Jiuquan South</t>
  </si>
  <si>
    <t>Xining - Qingshui North</t>
  </si>
  <si>
    <t>Xining - Kaifeng</t>
  </si>
  <si>
    <t>Xining - Shanghai Hongqiao Airport</t>
  </si>
  <si>
    <t>Xining - Urumqi South</t>
  </si>
  <si>
    <t>Xining - Xuzhou</t>
  </si>
  <si>
    <t>Xinyang East - Pingyang</t>
  </si>
  <si>
    <t>Xinyang East - Wenzhou South</t>
  </si>
  <si>
    <t>Xinyang - Wenzhou</t>
  </si>
  <si>
    <t>Xinyu North - Changsha South</t>
  </si>
  <si>
    <t>Xuchang East - Tianjin West</t>
  </si>
  <si>
    <t>Xuchang - Tianjin</t>
  </si>
  <si>
    <t>China, Yangzhou</t>
  </si>
  <si>
    <t>Yangzhou - Hangzhou</t>
  </si>
  <si>
    <t>Yangzhou - Hangzhou East</t>
  </si>
  <si>
    <t>Yangzhou - Hangzhou West</t>
  </si>
  <si>
    <t>Yangzhou - Shenzhen</t>
  </si>
  <si>
    <t>Yangzhou - Shenzhen East</t>
  </si>
  <si>
    <t>Yangzhou - Shenzhen North</t>
  </si>
  <si>
    <t>Yanji West - Harbin North</t>
  </si>
  <si>
    <t>Yibin - Chengdu East</t>
  </si>
  <si>
    <t>Yibin - Chengdu South</t>
  </si>
  <si>
    <t>Yiwu - Chongqing North</t>
  </si>
  <si>
    <t>Hengdian - Nanjing South</t>
  </si>
  <si>
    <t>Hengdian - Qingdao North</t>
  </si>
  <si>
    <t>Yiwu - Qingdao North</t>
  </si>
  <si>
    <t>Hengdian - Shanghai Hongqiao</t>
  </si>
  <si>
    <t>Hengdian - Shanghai South</t>
  </si>
  <si>
    <t>Hengdian - Shanghai Hongqiao Airport</t>
  </si>
  <si>
    <t>China, Yongchuan</t>
  </si>
  <si>
    <t>Yongchuan East - Neijiang North</t>
  </si>
  <si>
    <t>Yongchuan - Neijiang</t>
  </si>
  <si>
    <t>China, Zhangjiajie</t>
  </si>
  <si>
    <t>Yueyang - Zhangjiajie</t>
  </si>
  <si>
    <t>Yueyang - Zhangjiajie West</t>
  </si>
  <si>
    <t>Linping South - Guiyang North</t>
  </si>
  <si>
    <t>Linping South - Shanghai South</t>
  </si>
  <si>
    <t>Yulin Guangxi - Zhanjiang</t>
  </si>
  <si>
    <t>Yulin Guangxi - Zhanjiang West</t>
  </si>
  <si>
    <t>China, Jinghong</t>
  </si>
  <si>
    <t>Yuanjiang - Xishuangbanna</t>
  </si>
  <si>
    <t>Yuanjiang - Yexianggu</t>
  </si>
  <si>
    <t>China, Mohan Yunnan</t>
  </si>
  <si>
    <t>Yunnan - Mohan Yunnan</t>
  </si>
  <si>
    <t>Laos, Luang Prabang</t>
  </si>
  <si>
    <t>Mengla - Luang Prabang Railway Station</t>
  </si>
  <si>
    <t>Yuxi Yunnan - Jianshui</t>
  </si>
  <si>
    <t>Zhangjiajie West - Qianjiang</t>
  </si>
  <si>
    <t>Zhangjiajie - Hubei</t>
  </si>
  <si>
    <t>Ruian - Beijing South</t>
  </si>
  <si>
    <t>Ninghai - Changzhou</t>
  </si>
  <si>
    <t>Ninghai - Changzhou North</t>
  </si>
  <si>
    <t>Yuyao North - Huainan South</t>
  </si>
  <si>
    <t>Zhejiang - Huainan</t>
  </si>
  <si>
    <t>Zhejiang - Jingdezhen</t>
  </si>
  <si>
    <t>Yuyao North - Ningbo</t>
  </si>
  <si>
    <t>Yuyao - Ningbo</t>
  </si>
  <si>
    <t>Yuyao North - Shanghai South</t>
  </si>
  <si>
    <t>Lishui Zhejiang - Yancheng</t>
  </si>
  <si>
    <t>Yuyao North - Zhengzhou East</t>
  </si>
  <si>
    <t>Zhengzhou - Yulin Guangxi</t>
  </si>
  <si>
    <t>China, Zhuhai</t>
  </si>
  <si>
    <t>Zhuhai - Xuchang</t>
  </si>
  <si>
    <t>Zhuhai - Xuchang East</t>
  </si>
  <si>
    <t>China, Zhumadian</t>
  </si>
  <si>
    <t>Zhumadian - Henan</t>
  </si>
  <si>
    <t>Zibo North - Nanjing South</t>
  </si>
  <si>
    <t>Zibo - Nanjing</t>
  </si>
  <si>
    <t>Zibo - Nanjing South</t>
  </si>
  <si>
    <t>France, Bayeux</t>
  </si>
  <si>
    <t>France, Caen</t>
  </si>
  <si>
    <t>Bayeux Hotel Transfer - Caen Hotel Transfer</t>
  </si>
  <si>
    <t>charter | Minivan 4pax</t>
  </si>
  <si>
    <t>France, Paris</t>
  </si>
  <si>
    <t>Bayeux Hotel Transfer - Paris Hotel Transfer</t>
  </si>
  <si>
    <t>France, Reims</t>
  </si>
  <si>
    <t>Bayeux Hotel Transfer - Reims Hotel Transfer</t>
  </si>
  <si>
    <t>Caen Hotel Transfer - Bayeux Hotel Transfer</t>
  </si>
  <si>
    <t>France, Cherbourg en Cotentin</t>
  </si>
  <si>
    <t>Caen Hotel Transfer - Cherbourg Hotel Transfer</t>
  </si>
  <si>
    <t>France, Deauville</t>
  </si>
  <si>
    <t>Caen Hotel Transfer - Deauville Hotel Transfer</t>
  </si>
  <si>
    <t>France, Honfleur</t>
  </si>
  <si>
    <t>Caen Hotel Transfer - Honfleur Hotel Transfer</t>
  </si>
  <si>
    <t>France, Le Havre</t>
  </si>
  <si>
    <t>Caen Hotel Transfer - Le Havre Hotel Transfer</t>
  </si>
  <si>
    <t>France, Mont Saint Michel</t>
  </si>
  <si>
    <t>Caen Hotel Transfer - Mont Saint Michel Transfer</t>
  </si>
  <si>
    <t>Caen Hotel Transfer - Charles de Gaulle Airport</t>
  </si>
  <si>
    <t>Caen Hotel Transfer - Paris Hotel Transfer</t>
  </si>
  <si>
    <t>France, Rennes</t>
  </si>
  <si>
    <t>Caen Hotel Transfer - Rennes Hotel Transfer</t>
  </si>
  <si>
    <t>France, Rouen</t>
  </si>
  <si>
    <t>Caen Hotel Transfer - Rouen Hotel Transfer</t>
  </si>
  <si>
    <t>France, Saint Malo</t>
  </si>
  <si>
    <t>Caen Hotel Transfer - Saint Malo Hotel Transfer</t>
  </si>
  <si>
    <t>Cherbourg Hotel Transfer - Caen Hotel Transfer</t>
  </si>
  <si>
    <t>Deauville Hotel Transfer - Caen Hotel Transfer</t>
  </si>
  <si>
    <t>Honfleur Hotel Transfer - Caen Hotel Transfer</t>
  </si>
  <si>
    <t>Le Havre Hotel Transfer - Caen Hotel Transfer</t>
  </si>
  <si>
    <t>Le Havre Hotel Transfer - Paris Hotel Transfer</t>
  </si>
  <si>
    <t>Mont Saint Michel Transfer - Caen Hotel Transfer</t>
  </si>
  <si>
    <t>Mont Saint Michel Transfer - Paris Hotel Transfer</t>
  </si>
  <si>
    <t>Paris Hotel Transfer - Bayeux Hotel Transfer</t>
  </si>
  <si>
    <t>Charles de Gaulle Airport - Caen Hotel Transfer</t>
  </si>
  <si>
    <t>Paris Hotel Transfer - Caen Hotel Transfer</t>
  </si>
  <si>
    <t>Paris Hotel Transfer - Le Havre Hotel Transfer</t>
  </si>
  <si>
    <t>Paris Hotel Transfer - Mont Saint Michel Transfer</t>
  </si>
  <si>
    <t>France, Roissy en France</t>
  </si>
  <si>
    <t>Paris Disneyland - Roissy en France Hotel Transfer</t>
  </si>
  <si>
    <t>Paris Hotel Transfer - Rouen Hotel Transfer</t>
  </si>
  <si>
    <t>Reims Hotel Transfer - Bayeux Hotel Transfer</t>
  </si>
  <si>
    <t>Rennes Hotel Transfer - Caen Hotel Transfer</t>
  </si>
  <si>
    <t>Roissy en France Hotel Transfer - Paris Disneyland</t>
  </si>
  <si>
    <t>Rouen Hotel Transfer - Caen Hotel Transfer</t>
  </si>
  <si>
    <t>Rouen Hotel Transfer - Paris Hotel Transfer</t>
  </si>
  <si>
    <t>Saint Malo Hotel Transfer - Caen Hotel Transfer</t>
  </si>
  <si>
    <t>Georgia, Akhalkalaki</t>
  </si>
  <si>
    <t>Akhalkalaki Hotel Transfer - Batumi Airport</t>
  </si>
  <si>
    <t>Akhalkalaki Hotel Transfer - Batumi Hotel Transfer</t>
  </si>
  <si>
    <t>Akhalkalaki Hotel Transfer - Kutaisi Airport</t>
  </si>
  <si>
    <t>Akhalkalaki Hotel Transfer - Kutaisi Hotel Transfer</t>
  </si>
  <si>
    <t>Akhalkalaki Hotel Transfer - Tbilisi Airport</t>
  </si>
  <si>
    <t>Akhalkalaki Hotel Transfer - Tbilisi Hotel Transfer</t>
  </si>
  <si>
    <t>Georgia, Akhaltsikhe</t>
  </si>
  <si>
    <t>Akhaltsikhe Hotel Transfer - Batumi Airport</t>
  </si>
  <si>
    <t>Akhaltsikhe Hotel Transfer - Batumi Hotel Transfer</t>
  </si>
  <si>
    <t>Akhaltsikhe Hotel Transfer - Kutaisi Airport</t>
  </si>
  <si>
    <t>Akhaltsikhe Hotel Transfer - Kutaisi Hotel Transfer</t>
  </si>
  <si>
    <t>Akhaltsikhe Hotel Transfer - Tbilisi Airport</t>
  </si>
  <si>
    <t>Akhaltsikhe Hotel Transfer - Tbilisi Hotel Transfer</t>
  </si>
  <si>
    <t>Batumi Airport - Yerevan Hotel Transfer</t>
  </si>
  <si>
    <t>Batumi Hotel Transfer - Yerevan Hotel Transfer</t>
  </si>
  <si>
    <t>Batumi Airport - Akhalkalaki Hotel Transfer</t>
  </si>
  <si>
    <t>Batumi Hotel Transfer - Akhalkalaki Hotel Transfer</t>
  </si>
  <si>
    <t>Batumi Airport - Akhaltsikhe Hotel Transfer</t>
  </si>
  <si>
    <t>Batumi Hotel Transfer - Akhaltsikhe Hotel Transfer</t>
  </si>
  <si>
    <t>Batumi Airport - Batumi Hotel Transfer</t>
  </si>
  <si>
    <t>Batumi Hotel Transfer - Batumi Airport</t>
  </si>
  <si>
    <t>Georgia, Borjomi</t>
  </si>
  <si>
    <t>Batumi Airport - Bakuriani Hotel Transfer</t>
  </si>
  <si>
    <t>Batumi Airport - Borjomi Hotel Transfer</t>
  </si>
  <si>
    <t>Batumi Hotel Transfer - Bakuriani Hotel Transfer</t>
  </si>
  <si>
    <t>Batumi Hotel Transfer - Borjomi Hotel Transfer</t>
  </si>
  <si>
    <t>Georgia, Gori</t>
  </si>
  <si>
    <t>Batumi Airport - Gori Hotel Transfer</t>
  </si>
  <si>
    <t>Batumi Hotel Transfer - Gori Hotel Transfer</t>
  </si>
  <si>
    <t>Georgia, Gudauri</t>
  </si>
  <si>
    <t>Batumi Airport - Gudauri Hotel Transfer</t>
  </si>
  <si>
    <t>Batumi Hotel Transfer - Gudauri Hotel Transfer</t>
  </si>
  <si>
    <t>Georgia, Kakheti</t>
  </si>
  <si>
    <t>Batumi Airport - Kvareli Hotel Transfer</t>
  </si>
  <si>
    <t>Batumi Airport - Lopota Lake Hotel Transfer</t>
  </si>
  <si>
    <t>Batumi Hotel Transfer - Kvareli Hotel Transfer</t>
  </si>
  <si>
    <t>Batumi Hotel Transfer - Lopota Lake Hotel Transfer</t>
  </si>
  <si>
    <t>Georgia, Kobuleti</t>
  </si>
  <si>
    <t>Batumi Airport - Kobuleti Hotel Transfer</t>
  </si>
  <si>
    <t>Batumi Hotel Transfer - Kobuleti Hotel Transfer</t>
  </si>
  <si>
    <t>Batumi Airport - Kutaisi Hotel Transfer</t>
  </si>
  <si>
    <t>Batumi Hotel Transfer - Kutaisi Airport</t>
  </si>
  <si>
    <t>Batumi Hotel Transfer - Kutaisi Hotel Transfer</t>
  </si>
  <si>
    <t>Georgia, Mestia</t>
  </si>
  <si>
    <t>Batumi Airport - Mestia Hotel Transfer</t>
  </si>
  <si>
    <t>Batumi Hotel Transfer - Mestia Hotel Transfer</t>
  </si>
  <si>
    <t>Georgia, Mtskheta Mtianeti</t>
  </si>
  <si>
    <t>Batumi Airport - Stepantsminda Hotel Transfer</t>
  </si>
  <si>
    <t>Batumi Hotel Transfer - Stepantsminda Hotel Transfer</t>
  </si>
  <si>
    <t>Georgia, Shekvetili</t>
  </si>
  <si>
    <t>Batumi Airport - Shekvetili Hotel Transfer</t>
  </si>
  <si>
    <t>Batumi Hotel Transfer - Shekvetili Hotel Transfer</t>
  </si>
  <si>
    <t>Georgia, Sighnaghi</t>
  </si>
  <si>
    <t>Batumi Airport - Sighnaghi Hotel Transfer</t>
  </si>
  <si>
    <t>Batumi Hotel Transfer - Sighnaghi Hotel Transfer</t>
  </si>
  <si>
    <t>Batumi Airport - Tbilisi Hotel Transfer</t>
  </si>
  <si>
    <t>Batumi Hotel Transfer - Tbilisi Airport</t>
  </si>
  <si>
    <t>Batumi Hotel Transfer - Tbilisi Hotel Transfer</t>
  </si>
  <si>
    <t>Georgia, Telavi</t>
  </si>
  <si>
    <t>Batumi Airport - Telavi Hotel Transfer</t>
  </si>
  <si>
    <t>Batumi Hotel Transfer - Telavi Hotel Transfer</t>
  </si>
  <si>
    <t>Georgia, Zugdidi</t>
  </si>
  <si>
    <t>Batumi Airport - Zugdidi Hotel Transfer</t>
  </si>
  <si>
    <t>Batumi Hotel Transfer - Zugdidi Hotel Transfer</t>
  </si>
  <si>
    <t>Bakuriani Hotel Transfer - Batumi Airport</t>
  </si>
  <si>
    <t>Bakuriani Hotel Transfer - Batumi Hotel Transfer</t>
  </si>
  <si>
    <t>Borjomi Hotel Transfer - Batumi Airport</t>
  </si>
  <si>
    <t>Borjomi Hotel Transfer - Batumi Hotel Transfer</t>
  </si>
  <si>
    <t>Bakuriani Hotel Transfer - Kutaisi Airport</t>
  </si>
  <si>
    <t>Bakuriani Hotel Transfer - Kutaisi Hotel Transfer</t>
  </si>
  <si>
    <t>Borjomi Hotel Transfer - Kutaisi Airport</t>
  </si>
  <si>
    <t>Borjomi Hotel Transfer - Kutaisi Hotel Transfer</t>
  </si>
  <si>
    <t>Bakuriani Hotel Transfer - Tbilisi Airport</t>
  </si>
  <si>
    <t>Bakuriani Hotel Transfer - Tbilisi Hotel Transfer</t>
  </si>
  <si>
    <t>Borjomi Hotel Transfer - Tbilisi Airport</t>
  </si>
  <si>
    <t>Borjomi Hotel Transfer - Tbilisi Hotel Transfer</t>
  </si>
  <si>
    <t>Gori Hotel Transfer - Batumi Airport</t>
  </si>
  <si>
    <t>Gori Hotel Transfer - Batumi Hotel Transfer</t>
  </si>
  <si>
    <t>Gori Hotel Transfer - Kutaisi Airport</t>
  </si>
  <si>
    <t>Gori Hotel Transfer - Kutaisi Hotel Transfer</t>
  </si>
  <si>
    <t>Gori Hotel Transfer - Tbilisi Airport</t>
  </si>
  <si>
    <t>Gori Hotel Transfer - Tbilisi Hotel Transfer</t>
  </si>
  <si>
    <t>Gudauri Hotel Transfer - Batumi Airport</t>
  </si>
  <si>
    <t>Gudauri Hotel Transfer - Batumi Hotel Transfer</t>
  </si>
  <si>
    <t>Gudauri Hotel Transfer - Kutaisi Airport</t>
  </si>
  <si>
    <t>Gudauri Hotel Transfer - Kutaisi Hotel Transfer</t>
  </si>
  <si>
    <t>Gudauri Hotel Transfer - Tbilisi Airport</t>
  </si>
  <si>
    <t>Gudauri Hotel Transfer - Tbilisi Hotel Transfer</t>
  </si>
  <si>
    <t>Kvareli Hotel Transfer - Batumi Airport</t>
  </si>
  <si>
    <t>Kvareli Hotel Transfer - Batumi Hotel Transfer</t>
  </si>
  <si>
    <t>Lopota Lake Hotel Transfer - Batumi Airport</t>
  </si>
  <si>
    <t>Lopota Lake Hotel Transfer - Batumi Hotel Transfer</t>
  </si>
  <si>
    <t>Kvareli Hotel Transfer - Kutaisi Airport</t>
  </si>
  <si>
    <t>Kvareli Hotel Transfer - Kutaisi Hotel Transfer</t>
  </si>
  <si>
    <t>Lopota Lake Hotel Transfer - Kutaisi Airport</t>
  </si>
  <si>
    <t>Lopota Lake Hotel Transfer - Kutaisi Hotel Transfer</t>
  </si>
  <si>
    <t>Kvareli Hotel Transfer - Tbilisi Airport</t>
  </si>
  <si>
    <t>Kvareli Hotel Transfer - Tbilisi Hotel Transfer</t>
  </si>
  <si>
    <t>Lopota Lake Hotel Transfer - Tbilisi Airport</t>
  </si>
  <si>
    <t>Lopota Lake Hotel Transfer - Tbilisi Hotel Transfer</t>
  </si>
  <si>
    <t>Kobuleti Hotel Transfer - Batumi Airport</t>
  </si>
  <si>
    <t>Kobuleti Hotel Transfer - Batumi Hotel Transfer</t>
  </si>
  <si>
    <t>Kobuleti Hotel Transfer - Kutaisi Airport</t>
  </si>
  <si>
    <t>Kobuleti Hotel Transfer - Kutaisi Hotel Transfer</t>
  </si>
  <si>
    <t>Kobuleti Hotel Transfer - Tbilisi Airport</t>
  </si>
  <si>
    <t>Kobuleti Hotel Transfer - Tbilisi Hotel Transfer</t>
  </si>
  <si>
    <t>Kutaisi Airport - Yerevan Hotel Transfer</t>
  </si>
  <si>
    <t>Kutaisi Hotel Transfer - Yerevan Hotel Transfer</t>
  </si>
  <si>
    <t>Kutaisi Airport - Akhalkalaki Hotel Transfer</t>
  </si>
  <si>
    <t>Kutaisi Hotel Transfer - Akhalkalaki Hotel Transfer</t>
  </si>
  <si>
    <t>Kutaisi Airport - Akhaltsikhe Hotel Transfer</t>
  </si>
  <si>
    <t>Kutaisi Hotel Transfer - Akhaltsikhe Hotel Transfer</t>
  </si>
  <si>
    <t>Kutaisi Airport - Batumi Hotel Transfer</t>
  </si>
  <si>
    <t>Kutaisi Hotel Transfer - Batumi Airport</t>
  </si>
  <si>
    <t>Kutaisi Hotel Transfer - Batumi Hotel Transfer</t>
  </si>
  <si>
    <t>Kutaisi Airport - Bakuriani Hotel Transfer</t>
  </si>
  <si>
    <t>Kutaisi Airport - Borjomi Hotel Transfer</t>
  </si>
  <si>
    <t>Kutaisi Hotel Transfer - Bakuriani Hotel Transfer</t>
  </si>
  <si>
    <t>Kutaisi Hotel Transfer - Borjomi Hotel Transfer</t>
  </si>
  <si>
    <t>Kutaisi Airport - Gori Hotel Transfer</t>
  </si>
  <si>
    <t>Kutaisi Hotel Transfer - Gori Hotel Transfer</t>
  </si>
  <si>
    <t>Kutaisi Airport - Gudauri Hotel Transfer</t>
  </si>
  <si>
    <t>Kutaisi Hotel Transfer - Gudauri Hotel Transfer</t>
  </si>
  <si>
    <t>Kutaisi Airport - Kvareli Hotel Transfer</t>
  </si>
  <si>
    <t>Kutaisi Airport - Lopota Lake Hotel Transfer</t>
  </si>
  <si>
    <t>Kutaisi Hotel Transfer - Kvareli Hotel Transfer</t>
  </si>
  <si>
    <t>Kutaisi Hotel Transfer - Lopota Lake Hotel Transfer</t>
  </si>
  <si>
    <t>Kutaisi Airport - Kobuleti Hotel Transfer</t>
  </si>
  <si>
    <t>Kutaisi Hotel Transfer - Kobuleti Hotel Transfer</t>
  </si>
  <si>
    <t>Kutaisi Airport - Kutaisi Hotel Transfer</t>
  </si>
  <si>
    <t>Kutaisi Hotel Transfer - Kutaisi Airport</t>
  </si>
  <si>
    <t>Kutaisi Airport - Mestia Hotel Transfer</t>
  </si>
  <si>
    <t>Kutaisi Hotel Transfer - Mestia Hotel Transfer</t>
  </si>
  <si>
    <t>Kutaisi Airport - Stepantsminda Hotel Transfer</t>
  </si>
  <si>
    <t>Kutaisi Hotel Transfer - Stepantsminda Hotel Transfer</t>
  </si>
  <si>
    <t>Kutaisi Airport - Sighnaghi Hotel Transfer</t>
  </si>
  <si>
    <t>Kutaisi Hotel Transfer - Sighnaghi Hotel Transfer</t>
  </si>
  <si>
    <t>Kutaisi Airport - Tbilisi Hotel Transfer</t>
  </si>
  <si>
    <t>Kutaisi Hotel Transfer - Tbilisi Airport</t>
  </si>
  <si>
    <t>Kutaisi Hotel Transfer - Tbilisi Hotel Transfer</t>
  </si>
  <si>
    <t>Kutaisi Airport - Telavi Hotel Transfer</t>
  </si>
  <si>
    <t>Kutaisi Hotel Transfer - Telavi Hotel Transfer</t>
  </si>
  <si>
    <t>Kutaisi Airport - Zugdidi Hotel Transfer</t>
  </si>
  <si>
    <t>Kutaisi Hotel Transfer - Zugdidi Hotel Transfer</t>
  </si>
  <si>
    <t>Mestia Hotel Transfer - Batumi Airport</t>
  </si>
  <si>
    <t>Mestia Hotel Transfer - Batumi Hotel Transfer</t>
  </si>
  <si>
    <t>Mestia Hotel Transfer - Kutaisi Airport</t>
  </si>
  <si>
    <t>Mestia Hotel Transfer - Kutaisi Hotel Transfer</t>
  </si>
  <si>
    <t>Mestia Hotel Transfer - Tbilisi Airport</t>
  </si>
  <si>
    <t>Mestia Hotel Transfer - Tbilisi Hotel Transfer</t>
  </si>
  <si>
    <t>Stepantsminda Hotel Transfer - Batumi Airport</t>
  </si>
  <si>
    <t>Stepantsminda Hotel Transfer - Batumi Hotel Transfer</t>
  </si>
  <si>
    <t>Stepantsminda Hotel Transfer - Kutaisi Airport</t>
  </si>
  <si>
    <t>Stepantsminda Hotel Transfer - Kutaisi Hotel Transfer</t>
  </si>
  <si>
    <t>Stepantsminda Hotel Transfer - Tbilisi Airport</t>
  </si>
  <si>
    <t>Stepantsminda Hotel Transfer - Tbilisi Hotel Transfer</t>
  </si>
  <si>
    <t>Shekvetili Hotel Transfer - Batumi Airport</t>
  </si>
  <si>
    <t>Shekvetili Hotel Transfer - Batumi Hotel Transfer</t>
  </si>
  <si>
    <t>Shekvetili Hotel Transfer - Tbilisi Airport</t>
  </si>
  <si>
    <t>Shekvetili Hotel Transfer - Tbilisi Hotel Transfer</t>
  </si>
  <si>
    <t>Sighnaghi Hotel Transfer - Batumi Airport</t>
  </si>
  <si>
    <t>Sighnaghi Hotel Transfer - Batumi Hotel Transfer</t>
  </si>
  <si>
    <t>Sighnaghi Hotel Transfer - Kutaisi Airport</t>
  </si>
  <si>
    <t>Sighnaghi Hotel Transfer - Kutaisi Hotel Transfer</t>
  </si>
  <si>
    <t>Sighnaghi Hotel Transfer - Tbilisi Airport</t>
  </si>
  <si>
    <t>Sighnaghi Hotel Transfer - Tbilisi Hotel Transfer</t>
  </si>
  <si>
    <t>Tbilisi Airport - Yerevan Hotel Transfer</t>
  </si>
  <si>
    <t>Tbilisi Hotel Transfer - Yerevan Hotel Transfer</t>
  </si>
  <si>
    <t>Tbilisi Isani Mall - Yerevan Abovyan Street</t>
  </si>
  <si>
    <t>Tbilisi Airport - Akhalkalaki Hotel Transfer</t>
  </si>
  <si>
    <t>Tbilisi Hotel Transfer - Akhalkalaki Hotel Transfer</t>
  </si>
  <si>
    <t>Tbilisi Airport - Akhaltsikhe Hotel Transfer</t>
  </si>
  <si>
    <t>Tbilisi Hotel Transfer - Akhaltsikhe Hotel Transfer</t>
  </si>
  <si>
    <t>Tbilisi Airport - Batumi Hotel Transfer</t>
  </si>
  <si>
    <t>Tbilisi Hotel Transfer - Batumi Airport</t>
  </si>
  <si>
    <t>Tbilisi Hotel Transfer - Batumi Hotel Transfer</t>
  </si>
  <si>
    <t>Tbilisi Airport - Bakuriani Hotel Transfer</t>
  </si>
  <si>
    <t>Tbilisi Airport - Borjomi Hotel Transfer</t>
  </si>
  <si>
    <t>Tbilisi Hotel Transfer - Bakuriani Hotel Transfer</t>
  </si>
  <si>
    <t>Tbilisi Hotel Transfer - Borjomi Hotel Transfer</t>
  </si>
  <si>
    <t>Tbilisi Airport - Gori Hotel Transfer</t>
  </si>
  <si>
    <t>Tbilisi Hotel Transfer - Gori Hotel Transfer</t>
  </si>
  <si>
    <t>Tbilisi Airport - Gudauri Hotel Transfer</t>
  </si>
  <si>
    <t>Tbilisi Hotel Transfer - Gudauri Hotel Transfer</t>
  </si>
  <si>
    <t>Tbilisi Airport - Kvareli Hotel Transfer</t>
  </si>
  <si>
    <t>Tbilisi Airport - Lopota Lake Hotel Transfer</t>
  </si>
  <si>
    <t>Tbilisi Hotel Transfer - Kvareli Hotel Transfer</t>
  </si>
  <si>
    <t>Tbilisi Hotel Transfer - Lopota Lake Hotel Transfer</t>
  </si>
  <si>
    <t>Tbilisi Airport - Kobuleti Hotel Transfer</t>
  </si>
  <si>
    <t>Tbilisi Hotel Transfer - Kobuleti Hotel Transfer</t>
  </si>
  <si>
    <t>Tbilisi Airport - Kutaisi Hotel Transfer</t>
  </si>
  <si>
    <t>Tbilisi Hotel Transfer - Kutaisi Airport</t>
  </si>
  <si>
    <t>Tbilisi Hotel Transfer - Kutaisi Hotel Transfer</t>
  </si>
  <si>
    <t>Tbilisi Airport - Mestia Hotel Transfer</t>
  </si>
  <si>
    <t>Tbilisi Hotel Transfer - Mestia Hotel Transfer</t>
  </si>
  <si>
    <t>Tbilisi Airport - Stepantsminda Hotel Transfer</t>
  </si>
  <si>
    <t>Tbilisi Hotel Transfer - Stepantsminda Hotel Transfer</t>
  </si>
  <si>
    <t>Tbilisi Airport - Shekvetili Hotel Transfer</t>
  </si>
  <si>
    <t>Tbilisi Hotel Transfer - Shekvetili Hotel Transfer</t>
  </si>
  <si>
    <t>Tbilisi Airport - Sighnaghi Hotel Transfer</t>
  </si>
  <si>
    <t>Tbilisi Hotel Transfer - Sighnaghi Hotel Transfer</t>
  </si>
  <si>
    <t>Tbilisi Airport - Tbilisi Hotel Transfer</t>
  </si>
  <si>
    <t>Tbilisi Hotel Transfer - Tbilisi Airport</t>
  </si>
  <si>
    <t>Tbilisi Airport - Telavi Hotel Transfer</t>
  </si>
  <si>
    <t>Tbilisi Hotel Transfer - Telavi Hotel Transfer</t>
  </si>
  <si>
    <t>Tbilisi Airport - Zugdidi Hotel Transfer</t>
  </si>
  <si>
    <t>Tbilisi Hotel Transfer - Zugdidi Hotel Transfer</t>
  </si>
  <si>
    <t>Telavi Hotel Transfer - Batumi Airport</t>
  </si>
  <si>
    <t>Telavi Hotel Transfer - Batumi Hotel Transfer</t>
  </si>
  <si>
    <t>Telavi Hotel Transfer - Kutaisi Airport</t>
  </si>
  <si>
    <t>Telavi Hotel Transfer - Kutaisi Hotel Transfer</t>
  </si>
  <si>
    <t>Telavi Hotel Transfer - Tbilisi Airport</t>
  </si>
  <si>
    <t>Telavi Hotel Transfer - Tbilisi Hotel Transfer</t>
  </si>
  <si>
    <t>Zugdidi Hotel Transfer - Batumi Airport</t>
  </si>
  <si>
    <t>Zugdidi Hotel Transfer - Batumi Hotel Transfer</t>
  </si>
  <si>
    <t>Zugdidi Hotel Transfer - Kutaisi Airport</t>
  </si>
  <si>
    <t>Zugdidi Hotel Transfer - Kutaisi Hotel Transfer</t>
  </si>
  <si>
    <t>Zugdidi Hotel Transfer - Tbilisi Airport</t>
  </si>
  <si>
    <t>Zugdidi Hotel Transfer - Tbilisi Hotel Transfer</t>
  </si>
  <si>
    <t>Hong Kong - Jishou</t>
  </si>
  <si>
    <t>Kowloon - Jiangxia</t>
  </si>
  <si>
    <t>Kowloon - Zengcheng</t>
  </si>
  <si>
    <t>India, Abhaneri</t>
  </si>
  <si>
    <t>India, Khajuraho</t>
  </si>
  <si>
    <t>Abhaneri - Khajuraho</t>
  </si>
  <si>
    <t>India, Sikandra Agra</t>
  </si>
  <si>
    <t>Abhaneri - Sikandra Agra</t>
  </si>
  <si>
    <t>India, Vrindavan</t>
  </si>
  <si>
    <t>Abhaneri - Vrindavan</t>
  </si>
  <si>
    <t>India, Agra</t>
  </si>
  <si>
    <t>India, Ayodhya</t>
  </si>
  <si>
    <t>Agra Cantt - Ayodhya</t>
  </si>
  <si>
    <t>India, Badshahnagar</t>
  </si>
  <si>
    <t>Agra Cantt - Badshahnagar</t>
  </si>
  <si>
    <t>India, Bathinda</t>
  </si>
  <si>
    <t>Agra Cantt - Bathinda</t>
  </si>
  <si>
    <t>Agra - Bathinda</t>
  </si>
  <si>
    <t>India, Delhi</t>
  </si>
  <si>
    <t>Agra Cantt - Sabzi Mandi</t>
  </si>
  <si>
    <t xml:space="preserve">India, Faizabad </t>
  </si>
  <si>
    <t>Agra Fort - Ayodhya Cantt</t>
  </si>
  <si>
    <t>India, Jajpur K Road</t>
  </si>
  <si>
    <t>Agra Cantt - Jajpur K Road</t>
  </si>
  <si>
    <t>Agra - Jajpur K Road</t>
  </si>
  <si>
    <t>India, Mehsana</t>
  </si>
  <si>
    <t>Agra Cantt - Mahesana Junction</t>
  </si>
  <si>
    <t>Agra - Mehsana</t>
  </si>
  <si>
    <t>India, Ongole</t>
  </si>
  <si>
    <t>Agra Cantt - Ongole</t>
  </si>
  <si>
    <t>Agra - Ongole</t>
  </si>
  <si>
    <t>India, Patiala</t>
  </si>
  <si>
    <t>Agra Cantt - Patiala</t>
  </si>
  <si>
    <t>Agra - Patiala</t>
  </si>
  <si>
    <t>India, Ramagundam</t>
  </si>
  <si>
    <t>Agra Cantt - Ramagundam</t>
  </si>
  <si>
    <t>Agra - Ramagundam</t>
  </si>
  <si>
    <t>India, Sangli</t>
  </si>
  <si>
    <t>Agra Cantt - Sangli</t>
  </si>
  <si>
    <t>Agra - Sangli</t>
  </si>
  <si>
    <t>Agra - Sikandra Agra</t>
  </si>
  <si>
    <t>India, Ahmadnagar</t>
  </si>
  <si>
    <t>India, Aurangabad</t>
  </si>
  <si>
    <t>Ahmadnagar - Aurangabad</t>
  </si>
  <si>
    <t>India, Jhansi</t>
  </si>
  <si>
    <t>Ahmadnagar - Jhansi</t>
  </si>
  <si>
    <t>Ahmadnagar - Virangana Lakshmibai</t>
  </si>
  <si>
    <t>India, Kurduvadi</t>
  </si>
  <si>
    <t>Ahmadnagar - Kurduvadi</t>
  </si>
  <si>
    <t>India, Parbhani</t>
  </si>
  <si>
    <t>Ahmadnagar - Parbhani</t>
  </si>
  <si>
    <t>Ahmadnagar - Parbhani Junction</t>
  </si>
  <si>
    <t>India, Sevagram</t>
  </si>
  <si>
    <t>Ahmadnagar - Sevagram</t>
  </si>
  <si>
    <t>India, Shegaon</t>
  </si>
  <si>
    <t>Ahmadnagar - Shegaon</t>
  </si>
  <si>
    <t>India, Wardha</t>
  </si>
  <si>
    <t>Ahmadnagar - Wardha</t>
  </si>
  <si>
    <t>Ahmadnagar - Wardha Junction</t>
  </si>
  <si>
    <t>India, Ahmedabad</t>
  </si>
  <si>
    <t>India, Dondaicha</t>
  </si>
  <si>
    <t>Ahmedabad Jn - Dondaicha</t>
  </si>
  <si>
    <t>Ahmedabad - Dondaicha</t>
  </si>
  <si>
    <t>India, Gondia</t>
  </si>
  <si>
    <t>Ahmedabad Jn - Gondia Junction</t>
  </si>
  <si>
    <t>Ahmedabad - Gondia</t>
  </si>
  <si>
    <t>India, Kim</t>
  </si>
  <si>
    <t>Ahmedabad Jn - Kim</t>
  </si>
  <si>
    <t>India, Ajmer</t>
  </si>
  <si>
    <t>India, Bhuj</t>
  </si>
  <si>
    <t>Ajmer Jn - Bhuj</t>
  </si>
  <si>
    <t>Ajmer - Sikandra Agra</t>
  </si>
  <si>
    <t>India, Akola</t>
  </si>
  <si>
    <t>Akola Junction - Gondia Junction</t>
  </si>
  <si>
    <t>Akola - Gondia</t>
  </si>
  <si>
    <t>India, Mathura</t>
  </si>
  <si>
    <t>Akola Junction - Mathura Jn</t>
  </si>
  <si>
    <t>Akola - Mathura</t>
  </si>
  <si>
    <t>India, Nandurbar</t>
  </si>
  <si>
    <t>Akola Junction - Nandurbar</t>
  </si>
  <si>
    <t>Akola - Nandurbar</t>
  </si>
  <si>
    <t>Akola Junction - Parbhani Junction</t>
  </si>
  <si>
    <t>Akola - Parbhani</t>
  </si>
  <si>
    <t>Akola - Vrindavan</t>
  </si>
  <si>
    <t>India, Alappuzha</t>
  </si>
  <si>
    <t>India, Daman</t>
  </si>
  <si>
    <t>Alappuzha - Daman</t>
  </si>
  <si>
    <t>India, Dhanbad</t>
  </si>
  <si>
    <t>Alappuzha - Dhanbad</t>
  </si>
  <si>
    <t>Alappuzha - Dhanbad Junction</t>
  </si>
  <si>
    <t>India, Kasaragod</t>
  </si>
  <si>
    <t>Alappuzha - Kasaragod</t>
  </si>
  <si>
    <t>India, Navi Mumbai</t>
  </si>
  <si>
    <t>Alappuzha - Navi Mumbai</t>
  </si>
  <si>
    <t>India, Old Goa</t>
  </si>
  <si>
    <t>Alappuzha - Old Goa</t>
  </si>
  <si>
    <t>India, Vapi</t>
  </si>
  <si>
    <t>Alappuzha - Vapi</t>
  </si>
  <si>
    <t>India, Aligarh</t>
  </si>
  <si>
    <t>India, Hathras</t>
  </si>
  <si>
    <t>Aligarh Junction - Hathras Junction</t>
  </si>
  <si>
    <t>Aligarh - Hathras</t>
  </si>
  <si>
    <t>India, Jammu and Kashmir</t>
  </si>
  <si>
    <t>Aligarh - Jammu And Kashmir</t>
  </si>
  <si>
    <t>India, Jammu Kashmir</t>
  </si>
  <si>
    <t>Aligarh - Jammu Kashmir</t>
  </si>
  <si>
    <t>India, Prayagraj</t>
  </si>
  <si>
    <t>Aligarh Junction - Prayag</t>
  </si>
  <si>
    <t>India, Alwar</t>
  </si>
  <si>
    <t>India, Haridwar</t>
  </si>
  <si>
    <t>Alwar - Haridwar Jn</t>
  </si>
  <si>
    <t>Alwar - Haridwar</t>
  </si>
  <si>
    <t>India, Haryana</t>
  </si>
  <si>
    <t>Alwar - Haryana</t>
  </si>
  <si>
    <t>India, Jammu</t>
  </si>
  <si>
    <t>Alwar - Jammu Tawi</t>
  </si>
  <si>
    <t>Alwar - Jammu</t>
  </si>
  <si>
    <t>India, Amalner</t>
  </si>
  <si>
    <t>Amalner - Ahmedabad</t>
  </si>
  <si>
    <t>Amalner - Ahmedabad Jn</t>
  </si>
  <si>
    <t>India, Barauni</t>
  </si>
  <si>
    <t>Amalner - Barauni</t>
  </si>
  <si>
    <t>Amalner - Barauni Junction</t>
  </si>
  <si>
    <t>India, Amravati</t>
  </si>
  <si>
    <t>India, Bhusaval</t>
  </si>
  <si>
    <t>Amravati - Bhusaval</t>
  </si>
  <si>
    <t>India, Surat</t>
  </si>
  <si>
    <t>Amravati - Surat</t>
  </si>
  <si>
    <t>India, Amritsar</t>
  </si>
  <si>
    <t>India, Durgapur</t>
  </si>
  <si>
    <t>Amritsar Jn - Durgapur</t>
  </si>
  <si>
    <t>India, Manmad</t>
  </si>
  <si>
    <t>Amritsar Jn - Manmad Junction</t>
  </si>
  <si>
    <t>Amritsar - Manmad</t>
  </si>
  <si>
    <t xml:space="preserve">India, Najibabad </t>
  </si>
  <si>
    <t>Amritsar Jn - Najibabad Junction</t>
  </si>
  <si>
    <t>India, Anantapur</t>
  </si>
  <si>
    <t>India, New Delhi</t>
  </si>
  <si>
    <t>Anantapur - New Delhi</t>
  </si>
  <si>
    <t xml:space="preserve">India, Andal </t>
  </si>
  <si>
    <t>India, Bardhaman</t>
  </si>
  <si>
    <t>Andal - Bardhaman</t>
  </si>
  <si>
    <t>India, Andhra Pradesh</t>
  </si>
  <si>
    <t>India, Chengannur</t>
  </si>
  <si>
    <t>Andhra Pradesh - Chengannur</t>
  </si>
  <si>
    <t>India, Hyderabad</t>
  </si>
  <si>
    <t>Thagarapuvalasa - Hyderabad</t>
  </si>
  <si>
    <t>India, Manchiryal</t>
  </si>
  <si>
    <t>Andhra Pradesh - Manchiryal</t>
  </si>
  <si>
    <t>India, Nandyal</t>
  </si>
  <si>
    <t>Markapur Road - Nandyal</t>
  </si>
  <si>
    <t>Andhra Pradesh - Prayagraj</t>
  </si>
  <si>
    <t>India, Vijayawada</t>
  </si>
  <si>
    <t>Piler - Vijayawada Jn</t>
  </si>
  <si>
    <t>India, Angamaly</t>
  </si>
  <si>
    <t>India, Aluva</t>
  </si>
  <si>
    <t>Angamali - Aluva</t>
  </si>
  <si>
    <t>India, Varkala</t>
  </si>
  <si>
    <t>Angamali - Varkala</t>
  </si>
  <si>
    <t>India, Anjuna</t>
  </si>
  <si>
    <t>India, Ernakulam</t>
  </si>
  <si>
    <t>Anjuna - Ernakulam</t>
  </si>
  <si>
    <t>India, Ara</t>
  </si>
  <si>
    <t>India, Maharashtra</t>
  </si>
  <si>
    <t>Ara - Maharashtra</t>
  </si>
  <si>
    <t>India, Arakkonam</t>
  </si>
  <si>
    <t>India, Kozhikode</t>
  </si>
  <si>
    <t>Arakkonam - Kozhikode</t>
  </si>
  <si>
    <t>India, Palakkad</t>
  </si>
  <si>
    <t>Arakkonam - Palakkad</t>
  </si>
  <si>
    <t>India, Podanur</t>
  </si>
  <si>
    <t>Arakkonam - Podanur</t>
  </si>
  <si>
    <t>Arakkonam - Podanur Junction</t>
  </si>
  <si>
    <t>India, Salem</t>
  </si>
  <si>
    <t>Arakkonam - Salem</t>
  </si>
  <si>
    <t>Arakkonam - Salem Junction</t>
  </si>
  <si>
    <t>India, Tambaram</t>
  </si>
  <si>
    <t>Arakkonam - Tambaram</t>
  </si>
  <si>
    <t>India, Aranthangi</t>
  </si>
  <si>
    <t>India, Tirunelveli</t>
  </si>
  <si>
    <t>Aranthangi - Tirunelveli</t>
  </si>
  <si>
    <t>India, Arsikere</t>
  </si>
  <si>
    <t>India, Margao</t>
  </si>
  <si>
    <t>Arsikere - Margao</t>
  </si>
  <si>
    <t>India, Asansol</t>
  </si>
  <si>
    <t>Asansol Junction - Durgapur</t>
  </si>
  <si>
    <t>Asansol - Durgapur</t>
  </si>
  <si>
    <t>Asansol - Haryana</t>
  </si>
  <si>
    <t>India, Jaipur</t>
  </si>
  <si>
    <t>Asansol Junction - Jaipur</t>
  </si>
  <si>
    <t>Asansol Junction - Jammu Tawi</t>
  </si>
  <si>
    <t>Asansol - Jammu</t>
  </si>
  <si>
    <t>Asansol - Jammu And Kashmir</t>
  </si>
  <si>
    <t>Asansol - Jammu Kashmir</t>
  </si>
  <si>
    <t>India, Kathgodam</t>
  </si>
  <si>
    <t>Asansol Junction - Kathgodam</t>
  </si>
  <si>
    <t>Asansol - Kathgodam</t>
  </si>
  <si>
    <t>India, Rajasthan</t>
  </si>
  <si>
    <t>Asansol - Rajasthan</t>
  </si>
  <si>
    <t>India, Siwan</t>
  </si>
  <si>
    <t>Asansol Junction - Siwan Junction</t>
  </si>
  <si>
    <t>Asansol - Siwan</t>
  </si>
  <si>
    <t>India, Assam</t>
  </si>
  <si>
    <t>India, Alipurduar</t>
  </si>
  <si>
    <t>Assam - Alipurduar</t>
  </si>
  <si>
    <t>Assam - Andhra Pradesh</t>
  </si>
  <si>
    <t>India, Bareilly</t>
  </si>
  <si>
    <t>Assam - Bareilly</t>
  </si>
  <si>
    <t>India, Coimbatore</t>
  </si>
  <si>
    <t>Assam - Coimbatore</t>
  </si>
  <si>
    <t>India, Dharmanagar</t>
  </si>
  <si>
    <t>Assam - Dharmanagar</t>
  </si>
  <si>
    <t>India, Fakiragram</t>
  </si>
  <si>
    <t>Assam - Fakiragram</t>
  </si>
  <si>
    <t>India, Goalpara</t>
  </si>
  <si>
    <t>Assam - Goalpara</t>
  </si>
  <si>
    <t xml:space="preserve">India, Khagaria </t>
  </si>
  <si>
    <t>Assam - Khagaria</t>
  </si>
  <si>
    <t>India, Ledo</t>
  </si>
  <si>
    <t>Assam - Ledo</t>
  </si>
  <si>
    <t>India, Muzaffarpur</t>
  </si>
  <si>
    <t>Assam - Muzaffarpur</t>
  </si>
  <si>
    <t>Assam - Vijayawada</t>
  </si>
  <si>
    <t>Aurangabad - Andhra Pradesh</t>
  </si>
  <si>
    <t>India, Ballarpur</t>
  </si>
  <si>
    <t>Aurangabad - Balharshah</t>
  </si>
  <si>
    <t>Aurangabad - Ballarpur</t>
  </si>
  <si>
    <t>India, Jaunpur</t>
  </si>
  <si>
    <t>Ayodhya - Jaunpur</t>
  </si>
  <si>
    <t xml:space="preserve">India, Mankapur </t>
  </si>
  <si>
    <t>Ayodhya - Mankapur</t>
  </si>
  <si>
    <t>Ayodhya - Mankapur Junction</t>
  </si>
  <si>
    <t>India, Nautanwa</t>
  </si>
  <si>
    <t>Ayodhya - Nautanwa</t>
  </si>
  <si>
    <t>India, Sonauli</t>
  </si>
  <si>
    <t>Ayodhya - Sonauli</t>
  </si>
  <si>
    <t>Nepal, Bhairahawa</t>
  </si>
  <si>
    <t>Ayodhya - Bhairahawa</t>
  </si>
  <si>
    <t>India, Tundla</t>
  </si>
  <si>
    <t>Badshahnagar - Tundla Junction</t>
  </si>
  <si>
    <t>India, Bagalkote</t>
  </si>
  <si>
    <t>Bagalkote - Arsikere</t>
  </si>
  <si>
    <t>India, Balangir</t>
  </si>
  <si>
    <t>India, Cuttack</t>
  </si>
  <si>
    <t>Balangir - Cuttack</t>
  </si>
  <si>
    <t>India, Bangalore</t>
  </si>
  <si>
    <t>India, Bantwal</t>
  </si>
  <si>
    <t>Ksr Bangalore - Bantawala</t>
  </si>
  <si>
    <t>India, Bhimavaram</t>
  </si>
  <si>
    <t>New Bengaluru Terminal - Bhimavaram Town</t>
  </si>
  <si>
    <t>India, Cuddalore</t>
  </si>
  <si>
    <t>Ksr Bangalore - Cuddalore Port Junction</t>
  </si>
  <si>
    <t xml:space="preserve">India, Gooty </t>
  </si>
  <si>
    <t>Ksr Bangalore - Gooty</t>
  </si>
  <si>
    <t>India, Harihar</t>
  </si>
  <si>
    <t>Yesvantpur - Harihar</t>
  </si>
  <si>
    <t>India, Kanhangad</t>
  </si>
  <si>
    <t>Banaswadi - Kanhangad</t>
  </si>
  <si>
    <t>New Bengaluru Terminal - Kanhangad</t>
  </si>
  <si>
    <t>India, Kannur</t>
  </si>
  <si>
    <t>New Bengaluru Terminal - Kannur</t>
  </si>
  <si>
    <t>India, Kanyakumari</t>
  </si>
  <si>
    <t>Yesvantpur - Kanyakumari</t>
  </si>
  <si>
    <t>India, Karur</t>
  </si>
  <si>
    <t>Banaswadi - Karur</t>
  </si>
  <si>
    <t>Ksr Bangalore - Manmad Junction</t>
  </si>
  <si>
    <t>India, Nagercoil</t>
  </si>
  <si>
    <t>Yesvantpur - Nagercoil Jn</t>
  </si>
  <si>
    <t>India, Nanded</t>
  </si>
  <si>
    <t>Yesvantpur - Nanded</t>
  </si>
  <si>
    <t>India, Nizamabad</t>
  </si>
  <si>
    <t>Yesvantpur - Nizamabad</t>
  </si>
  <si>
    <t>India, Samalkot</t>
  </si>
  <si>
    <t>New Bengaluru Terminal - Samalkot Junction</t>
  </si>
  <si>
    <t>India, Virudhunagar</t>
  </si>
  <si>
    <t>Bangalore - Sattur</t>
  </si>
  <si>
    <t>Bangalore - Vrindavan</t>
  </si>
  <si>
    <t>Barauni Junction - Surat</t>
  </si>
  <si>
    <t>Barauni - Surat</t>
  </si>
  <si>
    <t>India, Varanasi</t>
  </si>
  <si>
    <t>Barddhaman Junction - Deen Dayal Upadhyaya Jn</t>
  </si>
  <si>
    <t>India, Guwahati</t>
  </si>
  <si>
    <t>Bareilly - Guwahati</t>
  </si>
  <si>
    <t>Bareilly - Prayag</t>
  </si>
  <si>
    <t>India, Barnala</t>
  </si>
  <si>
    <t>India, Sri Ganganagar</t>
  </si>
  <si>
    <t>Barnala - Shri Ganganagar</t>
  </si>
  <si>
    <t>Bathinda - Haridwar Jn</t>
  </si>
  <si>
    <t>Bathinda - Jammu And Kashmir</t>
  </si>
  <si>
    <t>Bathinda - Maharashtra</t>
  </si>
  <si>
    <t>India, Uttarakhand</t>
  </si>
  <si>
    <t>Bathinda - Uttarakhand</t>
  </si>
  <si>
    <t>India, Bayana</t>
  </si>
  <si>
    <t>Bayana - Tundla</t>
  </si>
  <si>
    <t>India, Begusarai</t>
  </si>
  <si>
    <t>Begu Sarai - Delhi Cantt</t>
  </si>
  <si>
    <t>Begu Sarai - New Delhi</t>
  </si>
  <si>
    <t>Begusarai - New Delhi</t>
  </si>
  <si>
    <t>India, Bharuch</t>
  </si>
  <si>
    <t>India, Mount Abu</t>
  </si>
  <si>
    <t>Bharuch Junction - Abu Road</t>
  </si>
  <si>
    <t>India, Bhopal</t>
  </si>
  <si>
    <t>Bhopal - Ballarpur</t>
  </si>
  <si>
    <t>India, Mau</t>
  </si>
  <si>
    <t>Bhopal - Mau</t>
  </si>
  <si>
    <t>Rani Kamalapati - Mau Junction</t>
  </si>
  <si>
    <t>India, Bhubaneswar</t>
  </si>
  <si>
    <t>India, Joda Odisha</t>
  </si>
  <si>
    <t>Bhubaneswar - Banspani</t>
  </si>
  <si>
    <t>India, Bihiya</t>
  </si>
  <si>
    <t>Bihiya - Delhi</t>
  </si>
  <si>
    <t>Bihiya - New Delhi</t>
  </si>
  <si>
    <t>India, Birur</t>
  </si>
  <si>
    <t>India, Goa</t>
  </si>
  <si>
    <t>Birur Junction - Vasco Da Gama</t>
  </si>
  <si>
    <t>Birur - Goa</t>
  </si>
  <si>
    <t>India, Mysore</t>
  </si>
  <si>
    <t>Birur Junction - Mysore Jn</t>
  </si>
  <si>
    <t>Birur - Mysore</t>
  </si>
  <si>
    <t>India, Boisar</t>
  </si>
  <si>
    <t>Boisar - Daman</t>
  </si>
  <si>
    <t>Boisar - Goa</t>
  </si>
  <si>
    <t>Boisar - Madgaon</t>
  </si>
  <si>
    <t>Boisar - Margao</t>
  </si>
  <si>
    <t>Boisar - Vapi</t>
  </si>
  <si>
    <t>India, Bokaro Steel City</t>
  </si>
  <si>
    <t>India, Chandrapura</t>
  </si>
  <si>
    <t>Bokaro Steel City - Chandrapura</t>
  </si>
  <si>
    <t>India, Bolpur Santiniketan</t>
  </si>
  <si>
    <t>India, Jalpaiguri</t>
  </si>
  <si>
    <t>Bolpur Santiniketan - Jalpaiguri</t>
  </si>
  <si>
    <t>Bolpur Shantiniketan - Jalpaiguri</t>
  </si>
  <si>
    <t>India, Bommidi</t>
  </si>
  <si>
    <t>India, Chennai</t>
  </si>
  <si>
    <t>Bommidi - Chennai Central</t>
  </si>
  <si>
    <t>India, Borivali</t>
  </si>
  <si>
    <t>India, Pali Rajasthan</t>
  </si>
  <si>
    <t>Borivali - Pali Marwar</t>
  </si>
  <si>
    <t>Borivali - Pali Rajasthan</t>
  </si>
  <si>
    <t>India, Brahmapur</t>
  </si>
  <si>
    <t>Brahmapur - Andhra Pradesh</t>
  </si>
  <si>
    <t>India, Koraput</t>
  </si>
  <si>
    <t>Brahmapur - Koraput Junction</t>
  </si>
  <si>
    <t>Brahmapur - Koraput</t>
  </si>
  <si>
    <t>Berhampur - Vijayawada</t>
  </si>
  <si>
    <t>Brahmapur - Vijayawada</t>
  </si>
  <si>
    <t>India, Burhanpur</t>
  </si>
  <si>
    <t>India, Habibganj</t>
  </si>
  <si>
    <t>Burhanpur - Habibganj</t>
  </si>
  <si>
    <t>India, Itarsi</t>
  </si>
  <si>
    <t>Burhanpur - Itarsi</t>
  </si>
  <si>
    <t>India, Canacona Goa</t>
  </si>
  <si>
    <t>India, Karwar</t>
  </si>
  <si>
    <t>Canacona Goa - Karwar</t>
  </si>
  <si>
    <t>India, Chakradharpur</t>
  </si>
  <si>
    <t>India, West Bengal</t>
  </si>
  <si>
    <t>Chakradharpur - West Bengal</t>
  </si>
  <si>
    <t>India, Chandigarh</t>
  </si>
  <si>
    <t>India, Dausa</t>
  </si>
  <si>
    <t>Chandigarh - Dausa</t>
  </si>
  <si>
    <t>India, Loni</t>
  </si>
  <si>
    <t>Chandigarh - Loni</t>
  </si>
  <si>
    <t>India, Madurai</t>
  </si>
  <si>
    <t>Chandigarh - Madurai</t>
  </si>
  <si>
    <t>Chandigarh - Madurai Junction</t>
  </si>
  <si>
    <t>India, Sonipat</t>
  </si>
  <si>
    <t>Chandigarh - Sonipat</t>
  </si>
  <si>
    <t>Chandigarh - Deen Dayal Upadhyaya Jn</t>
  </si>
  <si>
    <t>India, Chandipur</t>
  </si>
  <si>
    <t>Chandipur - Hyderabad</t>
  </si>
  <si>
    <t>India, Telangana</t>
  </si>
  <si>
    <t>Chandipur - Telangana</t>
  </si>
  <si>
    <t>India, Chandrapur</t>
  </si>
  <si>
    <t>Chandrapur - Delhi</t>
  </si>
  <si>
    <t>Chandrapur - Hazrat Nizamuddin</t>
  </si>
  <si>
    <t>Chandrapur - Mancherial</t>
  </si>
  <si>
    <t>Chandrapur - Manchiryal</t>
  </si>
  <si>
    <t>Chandrapur - New Delhi</t>
  </si>
  <si>
    <t>India, Channapatna</t>
  </si>
  <si>
    <t>India, Vaniyambadi</t>
  </si>
  <si>
    <t>Channapatna - Vaniyambadi</t>
  </si>
  <si>
    <t>Chennai Central - Bommidi</t>
  </si>
  <si>
    <t>Chennai - Bommidi</t>
  </si>
  <si>
    <t>India, Gudur</t>
  </si>
  <si>
    <t>Chennai Egmore - Gudur Junction</t>
  </si>
  <si>
    <t>Perambur - Gudur Junction</t>
  </si>
  <si>
    <t>India, Gwalior</t>
  </si>
  <si>
    <t>Chennai Egmore - Gwalior Jn</t>
  </si>
  <si>
    <t>India, Kovilpatti</t>
  </si>
  <si>
    <t>Perambur - Kovilpatti</t>
  </si>
  <si>
    <t>India, Nagapattinam</t>
  </si>
  <si>
    <t>Perambur - Nagapattinam Junction</t>
  </si>
  <si>
    <t>India, Razampeta</t>
  </si>
  <si>
    <t>Chennai Central - Razampeta</t>
  </si>
  <si>
    <t>Chennai - Razampeta</t>
  </si>
  <si>
    <t>India, Chhapra</t>
  </si>
  <si>
    <t>Chhapra - Maharashtra</t>
  </si>
  <si>
    <t>India, Mumbai</t>
  </si>
  <si>
    <t>Chhapra - Lokmanya Tilak Term</t>
  </si>
  <si>
    <t>India, Chhattisgarh</t>
  </si>
  <si>
    <t>India, Rajahmundry</t>
  </si>
  <si>
    <t>Chhattisgarh - Rajahmundry</t>
  </si>
  <si>
    <t>India, Karaikudi</t>
  </si>
  <si>
    <t>Coimbatore - Karaikkudi Junction</t>
  </si>
  <si>
    <t>India, Erode</t>
  </si>
  <si>
    <t>Cuddalore Port Junction - Erode</t>
  </si>
  <si>
    <t>Cuddalore - Erode</t>
  </si>
  <si>
    <t>India, Hosur</t>
  </si>
  <si>
    <t>Cuddalore Port Junction - Hosur</t>
  </si>
  <si>
    <t>Cuddalore - Hosur</t>
  </si>
  <si>
    <t>Cuttack - Tambaram</t>
  </si>
  <si>
    <t>India, Dachepalle</t>
  </si>
  <si>
    <t>India, Lingampalli</t>
  </si>
  <si>
    <t>Dachepalle - Lingampalli</t>
  </si>
  <si>
    <t>India, Dahod</t>
  </si>
  <si>
    <t>India, Kalyan</t>
  </si>
  <si>
    <t>Dahod - Kalyan</t>
  </si>
  <si>
    <t>Dahod - Kalyan Jn</t>
  </si>
  <si>
    <t>India, Panvel</t>
  </si>
  <si>
    <t>Dahod - Panvel</t>
  </si>
  <si>
    <t>Daman - Mount Abu</t>
  </si>
  <si>
    <t>India, Patna</t>
  </si>
  <si>
    <t>Daman - Patna</t>
  </si>
  <si>
    <t>India, Damoh</t>
  </si>
  <si>
    <t>India, Sagar</t>
  </si>
  <si>
    <t>Damoh - Sagar</t>
  </si>
  <si>
    <t>Damoh - Saugor</t>
  </si>
  <si>
    <t>India, Darbhanga</t>
  </si>
  <si>
    <t>Darbhanga - Ksr Bangalore</t>
  </si>
  <si>
    <t>India, Karnataka</t>
  </si>
  <si>
    <t>Darbhanga - Karnataka</t>
  </si>
  <si>
    <t>India, Dehradun</t>
  </si>
  <si>
    <t>India, Mughalsarai</t>
  </si>
  <si>
    <t>Dehradun - Mughalsarai</t>
  </si>
  <si>
    <t>Sabzi Mandi - Agra Cantt</t>
  </si>
  <si>
    <t>Delhi - Amravati</t>
  </si>
  <si>
    <t>India, Balasore</t>
  </si>
  <si>
    <t>Delhi - Balasore</t>
  </si>
  <si>
    <t>India, Dalsingh Sarai</t>
  </si>
  <si>
    <t>Delhi - Dalsingh Sarai</t>
  </si>
  <si>
    <t>India, Garwa Road</t>
  </si>
  <si>
    <t>Sabzi Mandi - Garwa Road</t>
  </si>
  <si>
    <t>India, Godhra</t>
  </si>
  <si>
    <t>Delhi - Godhra</t>
  </si>
  <si>
    <t>Hazrat Nizamuddin - Godhra Junction</t>
  </si>
  <si>
    <t>India, Kadapa</t>
  </si>
  <si>
    <t>Delhi - Kadapa</t>
  </si>
  <si>
    <t>Hazrat Nizamuddin - Cuddapah</t>
  </si>
  <si>
    <t>India, Muzaffarnagar</t>
  </si>
  <si>
    <t>Delhi Cantt - Muzaffarnagar</t>
  </si>
  <si>
    <t>India, New Bongaigaon</t>
  </si>
  <si>
    <t>Delhi - New Bongaigaon</t>
  </si>
  <si>
    <t>India, Raj Gangpur</t>
  </si>
  <si>
    <t>Delhi - Raj Gangpur</t>
  </si>
  <si>
    <t>Hazrat Nizamuddin - Raj Gangpur</t>
  </si>
  <si>
    <t>Delhi Sarai Rohilla - Phulera Junction</t>
  </si>
  <si>
    <t>Delhi - Phulera Junction</t>
  </si>
  <si>
    <t>India, Ramgarh Cantonment</t>
  </si>
  <si>
    <t>Delhi - Ramgarh Cantonment</t>
  </si>
  <si>
    <t>Sabzi Mandi - Ramgarh Cant</t>
  </si>
  <si>
    <t>India, Sahibganj</t>
  </si>
  <si>
    <t>Delhi - Sahibganj</t>
  </si>
  <si>
    <t>Delhi - Sahibganj Junction</t>
  </si>
  <si>
    <t>India, Shahjehanpur</t>
  </si>
  <si>
    <t>Delhi Cantt - Shahjehanpur</t>
  </si>
  <si>
    <t>India, Shamgarh</t>
  </si>
  <si>
    <t>Delhi - Shamgarh</t>
  </si>
  <si>
    <t>Hazrat Nizamuddin - Shamgarh</t>
  </si>
  <si>
    <t>Delhi Shahdara Jn - Sonipat</t>
  </si>
  <si>
    <t>India, Vridhachalam</t>
  </si>
  <si>
    <t>Delhi - Vridhachalam</t>
  </si>
  <si>
    <t>Hazrat Nizamuddin - Vriddhachalam Junction</t>
  </si>
  <si>
    <t>India, Deoghar</t>
  </si>
  <si>
    <t>India, Lucknow</t>
  </si>
  <si>
    <t>Deoghar - Lucknow</t>
  </si>
  <si>
    <t>India, Uttar Pradesh</t>
  </si>
  <si>
    <t>Deoghar - Uttar Pradesh</t>
  </si>
  <si>
    <t>Dhanbad Junction - Bhopal Jn</t>
  </si>
  <si>
    <t>Dhanbad - Chhattisgarh</t>
  </si>
  <si>
    <t>India, Madhya Pradesh</t>
  </si>
  <si>
    <t>Dhanbad - Madhya Pradesh</t>
  </si>
  <si>
    <t>India, Raipur</t>
  </si>
  <si>
    <t>Dhanbad Junction - Raipur Jn</t>
  </si>
  <si>
    <t>India, Dharmapuri Tamil Nadu</t>
  </si>
  <si>
    <t>Dharmapuri Tamil Nadu - Tirunelveli</t>
  </si>
  <si>
    <t xml:space="preserve">India, Dharmavaram </t>
  </si>
  <si>
    <t>India, Puttaparthi</t>
  </si>
  <si>
    <t>Dharmavaram Junction - Sai P Nilayam</t>
  </si>
  <si>
    <t>Dharmavaram - Puttaparthi</t>
  </si>
  <si>
    <t>India, Dharwad</t>
  </si>
  <si>
    <t>India, Whitefield Bangalore</t>
  </si>
  <si>
    <t>Dharwad - Whitefield Bangalore</t>
  </si>
  <si>
    <t>Dharwar - Whitefield</t>
  </si>
  <si>
    <t>India, Dimapur</t>
  </si>
  <si>
    <t>India, Gonda</t>
  </si>
  <si>
    <t>Dimapur - Gonda Jn</t>
  </si>
  <si>
    <t>Dimapur - Gonda</t>
  </si>
  <si>
    <t>India, Dindigul</t>
  </si>
  <si>
    <t>India, Tiruvannamalai</t>
  </si>
  <si>
    <t>Dindigul Junction - Tiruvannamalai</t>
  </si>
  <si>
    <t>Dindigul - Tiruvannamalai</t>
  </si>
  <si>
    <t>India, Dodballapur</t>
  </si>
  <si>
    <t>Dodballapur - Yelahanka Junction</t>
  </si>
  <si>
    <t>India, Yelhanka</t>
  </si>
  <si>
    <t>Dodballapur - Yelhanka</t>
  </si>
  <si>
    <t>India, Durg</t>
  </si>
  <si>
    <t>India, Tatanagar</t>
  </si>
  <si>
    <t>Durg - Tatanagar</t>
  </si>
  <si>
    <t>India, Dwarka</t>
  </si>
  <si>
    <t>Dwarka - Abu Road</t>
  </si>
  <si>
    <t>Dwarka - Mount Abu</t>
  </si>
  <si>
    <t>India, Tamil Nadu</t>
  </si>
  <si>
    <t>Erode - Kulitalai</t>
  </si>
  <si>
    <t>India, Moradabad</t>
  </si>
  <si>
    <t>Ayodhya Cantt - Moradabad</t>
  </si>
  <si>
    <t>India, Falakata</t>
  </si>
  <si>
    <t xml:space="preserve">India, Rangiya </t>
  </si>
  <si>
    <t>Falakata - Rangiya</t>
  </si>
  <si>
    <t>Falakata - Rangiya Junction</t>
  </si>
  <si>
    <t>India, Ferozepur</t>
  </si>
  <si>
    <t>Ferozepur - Ayodhya</t>
  </si>
  <si>
    <t>India, Gandhidham</t>
  </si>
  <si>
    <t>India, Kanpur</t>
  </si>
  <si>
    <t>Gandhidham Bg - Kanpur Central</t>
  </si>
  <si>
    <t>Gandhidham - Kanpur</t>
  </si>
  <si>
    <t>India, Gandhinagar</t>
  </si>
  <si>
    <t>India, Sabarmati</t>
  </si>
  <si>
    <t>Gandhinagar Capital - Sabarmati Junction</t>
  </si>
  <si>
    <t>Gandhinagar - Sabarmati</t>
  </si>
  <si>
    <t>India, Gaya</t>
  </si>
  <si>
    <t>Gaya Jn - Deen Dayal Upadhyaya Jn</t>
  </si>
  <si>
    <t>India, Ghaziabad</t>
  </si>
  <si>
    <t>Ghaziabad - Panvel</t>
  </si>
  <si>
    <t>Ghaziabad - Sikandra Agra</t>
  </si>
  <si>
    <t>India, Davanagere</t>
  </si>
  <si>
    <t>Madgaon - Davangere</t>
  </si>
  <si>
    <t>India, Gokarna</t>
  </si>
  <si>
    <t>Gokarna Road - Kannur</t>
  </si>
  <si>
    <t>Gokarna - Kannur</t>
  </si>
  <si>
    <t>Gokarna - Old Goa</t>
  </si>
  <si>
    <t>Gonda Jn - Ajmer Jn</t>
  </si>
  <si>
    <t>Gonda - Ajmer</t>
  </si>
  <si>
    <t>Gondia Junction - Barauni Junction</t>
  </si>
  <si>
    <t>Gondia - Barauni</t>
  </si>
  <si>
    <t>India, Bilaspur</t>
  </si>
  <si>
    <t>Gondia Junction - Bilaspur Jn</t>
  </si>
  <si>
    <t>Gondia - Bilaspur</t>
  </si>
  <si>
    <t>India, Shirdi</t>
  </si>
  <si>
    <t>Gondia Junction - Sainagar Shirdi</t>
  </si>
  <si>
    <t>Gondia - Shirdi</t>
  </si>
  <si>
    <t>Gooty - Ksr Bangalore</t>
  </si>
  <si>
    <t>Gooty - Yesvantpur</t>
  </si>
  <si>
    <t>Gooty - Karnataka</t>
  </si>
  <si>
    <t>Gooty - Razampeta</t>
  </si>
  <si>
    <t>India, Gopalpur Odisha</t>
  </si>
  <si>
    <t>Gopalpur Odisha - Andhra Pradesh</t>
  </si>
  <si>
    <t>India, Secunderabad</t>
  </si>
  <si>
    <t>Gopalpur Odisha - Secunderabad</t>
  </si>
  <si>
    <t>Gopalpur Odisha - Vijayawada</t>
  </si>
  <si>
    <t>India, Gorakhpur</t>
  </si>
  <si>
    <t>Gorakhpur - Deoghar</t>
  </si>
  <si>
    <t>India, Jhusi</t>
  </si>
  <si>
    <t>Gorakhpur - Jhusi</t>
  </si>
  <si>
    <t>India, Naini</t>
  </si>
  <si>
    <t>Gorakhpur - Naini</t>
  </si>
  <si>
    <t>Gorakhpur - Naini Junction</t>
  </si>
  <si>
    <t>Gorakhpur - Navi Mumbai</t>
  </si>
  <si>
    <t>Gorakhpur - Patna Jn</t>
  </si>
  <si>
    <t>Gorakhpur - Sabarmati</t>
  </si>
  <si>
    <t>Gorakhpur - Sabarmati Junction</t>
  </si>
  <si>
    <t>India, Greater Noida</t>
  </si>
  <si>
    <t>India, Kannauj</t>
  </si>
  <si>
    <t>Greater Noida - Kannauj</t>
  </si>
  <si>
    <t>India, Nellore</t>
  </si>
  <si>
    <t>Gudur Junction - Nellore</t>
  </si>
  <si>
    <t>Gudur - Nellore</t>
  </si>
  <si>
    <t>India, Gujarat</t>
  </si>
  <si>
    <t>India, Ankleshwar</t>
  </si>
  <si>
    <t>Umbargam Road - Ankleshwar Junction</t>
  </si>
  <si>
    <t>Gujarat - Kim</t>
  </si>
  <si>
    <t>Gwalior Jn - Tatanagar</t>
  </si>
  <si>
    <t>Gwalior - Tatanagar</t>
  </si>
  <si>
    <t>Habibganj - Sagar</t>
  </si>
  <si>
    <t>Habibganj - Varanasi</t>
  </si>
  <si>
    <t>India, Hampi</t>
  </si>
  <si>
    <t>Hampi - Andhra Pradesh</t>
  </si>
  <si>
    <t>Hampi - Vijayawada</t>
  </si>
  <si>
    <t>India, Hardoi</t>
  </si>
  <si>
    <t>Hardoi - Ghaziabad</t>
  </si>
  <si>
    <t>Hardoi - Haryana</t>
  </si>
  <si>
    <t>India, Nagpur</t>
  </si>
  <si>
    <t>Haryana - Nagpur</t>
  </si>
  <si>
    <t>India, Shri Mata Vaishno</t>
  </si>
  <si>
    <t>Rohtak Junction - Shri Mata Vaishno</t>
  </si>
  <si>
    <t>India, Hatia</t>
  </si>
  <si>
    <t>India, Kochi India</t>
  </si>
  <si>
    <t>Hatia - Ernakulam Jn</t>
  </si>
  <si>
    <t>Hatia - Kochi India</t>
  </si>
  <si>
    <t>India, Himachal Pradesh</t>
  </si>
  <si>
    <t>India, Rajpura</t>
  </si>
  <si>
    <t>Amb Andaura - Rajpura Junction</t>
  </si>
  <si>
    <t>India, Hisar</t>
  </si>
  <si>
    <t>Hisar - Navi Mumbai</t>
  </si>
  <si>
    <t>Hisar - Panvel</t>
  </si>
  <si>
    <t>Hisar - Shri Ganganagar</t>
  </si>
  <si>
    <t>Hisar - Sri Ganganagar</t>
  </si>
  <si>
    <t>India, Honavar</t>
  </si>
  <si>
    <t>India, Kankanadi</t>
  </si>
  <si>
    <t>Honavar - Kankanadi</t>
  </si>
  <si>
    <t>India, Koyilandy</t>
  </si>
  <si>
    <t>Hosur - Koyilandy</t>
  </si>
  <si>
    <t>Hosur - Quilandi</t>
  </si>
  <si>
    <t>India, Howrah</t>
  </si>
  <si>
    <t>India, Daltonganj</t>
  </si>
  <si>
    <t>Howrah - Daltonganj</t>
  </si>
  <si>
    <t xml:space="preserve">India, Katihar </t>
  </si>
  <si>
    <t>Howrah - Katihar</t>
  </si>
  <si>
    <t>Howrah - Katihar Junction</t>
  </si>
  <si>
    <t>India, Murarai</t>
  </si>
  <si>
    <t>Howrah - Murarai</t>
  </si>
  <si>
    <t>Hyderabad - Chenchupet</t>
  </si>
  <si>
    <t>Hyderabad - Sivaluru</t>
  </si>
  <si>
    <t>Hyderabad - Thimmapuram</t>
  </si>
  <si>
    <t>Kacheguda - Nagarsol</t>
  </si>
  <si>
    <t>India, Ichchpuram</t>
  </si>
  <si>
    <t>India, Visakhapatnam</t>
  </si>
  <si>
    <t>Ichchpuram - Visakhapatnam</t>
  </si>
  <si>
    <t>India, Indi Karnataka</t>
  </si>
  <si>
    <t>India, Hubli</t>
  </si>
  <si>
    <t>Indi Karnataka - Hubli</t>
  </si>
  <si>
    <t>Indi Road - Hubballi Jn</t>
  </si>
  <si>
    <t>India, Indore</t>
  </si>
  <si>
    <t>India, Biaora</t>
  </si>
  <si>
    <t>Indore Jn Bg - Biyavra Rajgarh</t>
  </si>
  <si>
    <t>India, Katni</t>
  </si>
  <si>
    <t>Itarsi - Katni</t>
  </si>
  <si>
    <t>Itarsi - Katni Murwara</t>
  </si>
  <si>
    <t>Itarsi - Katni South</t>
  </si>
  <si>
    <t>India, Jabalpur</t>
  </si>
  <si>
    <t>Jabalpur - Naini</t>
  </si>
  <si>
    <t>Jabalpur - Naini Junction</t>
  </si>
  <si>
    <t>India, Shahdol</t>
  </si>
  <si>
    <t>Jabalpur - Shahdol</t>
  </si>
  <si>
    <t>India, Jadcherla</t>
  </si>
  <si>
    <t>India, Annavaram</t>
  </si>
  <si>
    <t>Jadcherla - Annavaram</t>
  </si>
  <si>
    <t>Jadcherla - Hyderabad</t>
  </si>
  <si>
    <t>Jadcherla - Hyderabad Decan</t>
  </si>
  <si>
    <t>Jadcherla - Kacheguda</t>
  </si>
  <si>
    <t>Jadcherla - Lingampalli</t>
  </si>
  <si>
    <t>Jadcherla - Secunderabad</t>
  </si>
  <si>
    <t>India, Jainagar Bihar</t>
  </si>
  <si>
    <t>Jainagar Bihar - West Bengal</t>
  </si>
  <si>
    <t>Jaipur - Daman</t>
  </si>
  <si>
    <t>India, Sawai Madhopur</t>
  </si>
  <si>
    <t>Dahar Ka Balaji - Sawai Madhopur</t>
  </si>
  <si>
    <t>India, Jalandhar</t>
  </si>
  <si>
    <t>Jalandhar - Mughalsarai</t>
  </si>
  <si>
    <t>Jalandhar - Prayagraj Junction</t>
  </si>
  <si>
    <t>Jalandhar - Prayagraj</t>
  </si>
  <si>
    <t>India, Jalgaon</t>
  </si>
  <si>
    <t>Jalgaon - Chhattisgarh</t>
  </si>
  <si>
    <t>Jalgaon Jn - Raipur Jn</t>
  </si>
  <si>
    <t>Jalgaon - Raipur</t>
  </si>
  <si>
    <t>Jalgaon Jn - Sangli</t>
  </si>
  <si>
    <t>Jalgaon - Sangli</t>
  </si>
  <si>
    <t>Jalgaon - Varanasi</t>
  </si>
  <si>
    <t>India, Jalna</t>
  </si>
  <si>
    <t>Jalna - Kacheguda</t>
  </si>
  <si>
    <t>Jalna - Secunderabad</t>
  </si>
  <si>
    <t>Jalna - Telangana</t>
  </si>
  <si>
    <t xml:space="preserve">India, Jamalpur </t>
  </si>
  <si>
    <t>India, Bihar</t>
  </si>
  <si>
    <t>Jamalpur - Bihar</t>
  </si>
  <si>
    <t>India, Barmer</t>
  </si>
  <si>
    <t>Jammu Tawi - Barmer</t>
  </si>
  <si>
    <t>Jammu - Barmer</t>
  </si>
  <si>
    <t>Jammu Tawi - Ghaziabad</t>
  </si>
  <si>
    <t>Jammu Tawi - Kanyakumari</t>
  </si>
  <si>
    <t>Jammu - Kanyakumari</t>
  </si>
  <si>
    <t>Jammu Tawi - Nagercoil Jn</t>
  </si>
  <si>
    <t>Jammu - Nagercoil</t>
  </si>
  <si>
    <t>Jammu Tawi - Secunderabad</t>
  </si>
  <si>
    <t>Jammu And Kashmir - Barmer</t>
  </si>
  <si>
    <t>Jammu And Kashmir - Ghaziabad</t>
  </si>
  <si>
    <t>India, Meerut</t>
  </si>
  <si>
    <t>Jammu And Kashmir - Meerut</t>
  </si>
  <si>
    <t>Jammu And Kashmir - Nagercoil</t>
  </si>
  <si>
    <t>India, Rewari</t>
  </si>
  <si>
    <t>Jammu And Kashmir - Rewari</t>
  </si>
  <si>
    <t>Jammu And Kashmir - Tundla</t>
  </si>
  <si>
    <t>Jammu And Kashmir - Vrindavan</t>
  </si>
  <si>
    <t>Jammu Kashmir - Ghaziabad</t>
  </si>
  <si>
    <t>Jammu Kashmir - Meerut</t>
  </si>
  <si>
    <t>India, Raiwala</t>
  </si>
  <si>
    <t>Jammu Kashmir - Raiwala</t>
  </si>
  <si>
    <t>Jammu Kashmir - Secunderabad</t>
  </si>
  <si>
    <t>India, Taj Mahal</t>
  </si>
  <si>
    <t>Jammu Kashmir - Taj Mahal</t>
  </si>
  <si>
    <t>India, Jamnagar</t>
  </si>
  <si>
    <t>Jamnagar - Daman</t>
  </si>
  <si>
    <t>India, Valsad</t>
  </si>
  <si>
    <t>Jamnagar - Valsad</t>
  </si>
  <si>
    <t>India, Jamshedpur</t>
  </si>
  <si>
    <t>Jamshedpur - Bangalore</t>
  </si>
  <si>
    <t>India, Buxar</t>
  </si>
  <si>
    <t>Jamshedpur - Buxar</t>
  </si>
  <si>
    <t>Jamshedpur - Karnataka</t>
  </si>
  <si>
    <t>India, Kerala</t>
  </si>
  <si>
    <t>Jamshedpur - Kerala</t>
  </si>
  <si>
    <t>Jaunpur - Maharashtra</t>
  </si>
  <si>
    <t>India, Jhalida</t>
  </si>
  <si>
    <t>India, Ranchi</t>
  </si>
  <si>
    <t>Jhalida - Ranchi</t>
  </si>
  <si>
    <t>Jhansi - Ernakulam</t>
  </si>
  <si>
    <t>India, Jharkhand</t>
  </si>
  <si>
    <t>India, Jamui</t>
  </si>
  <si>
    <t>Jharkhand - Jamui</t>
  </si>
  <si>
    <t>India, Pakur</t>
  </si>
  <si>
    <t>Jharkhand - Pakur</t>
  </si>
  <si>
    <t>India, Sambalpur</t>
  </si>
  <si>
    <t>Jharkhand - Sambalpur</t>
  </si>
  <si>
    <t>Jhusi - Allahabad City</t>
  </si>
  <si>
    <t>Jhusi - Prayagraj</t>
  </si>
  <si>
    <t>Jhusi - Banaras</t>
  </si>
  <si>
    <t>Jhusi - Varanasi</t>
  </si>
  <si>
    <t>Jhusi - Varanasi Jn</t>
  </si>
  <si>
    <t>India, Jind</t>
  </si>
  <si>
    <t>Jind - Maharashtra</t>
  </si>
  <si>
    <t>India, Jodhpur</t>
  </si>
  <si>
    <t>Jodhpur Jn - Coimbatore</t>
  </si>
  <si>
    <t>Jodhpur - Coimbatore</t>
  </si>
  <si>
    <t>Jodhpur - Daman</t>
  </si>
  <si>
    <t>Jodhpur - Tamil Nadu</t>
  </si>
  <si>
    <t>Jodhpur Jn - Vapi</t>
  </si>
  <si>
    <t>India, Jolarpet</t>
  </si>
  <si>
    <t>Jolarpet - Podanur</t>
  </si>
  <si>
    <t>Jolarpettai - Podanur Junction</t>
  </si>
  <si>
    <t>India, Kadur</t>
  </si>
  <si>
    <t>India, Hubballi Dharwad</t>
  </si>
  <si>
    <t>Kadur - Hubballi Dharwad</t>
  </si>
  <si>
    <t>Kadur - Hubballi Jn</t>
  </si>
  <si>
    <t>Kadur - Hubli</t>
  </si>
  <si>
    <t>India, Mangalore</t>
  </si>
  <si>
    <t>Kadur - Mangalore</t>
  </si>
  <si>
    <t>India, Kakinada</t>
  </si>
  <si>
    <t>India, Puducherry</t>
  </si>
  <si>
    <t>Kakinada Town - Pondicherry</t>
  </si>
  <si>
    <t>Kakinada - Puducherry</t>
  </si>
  <si>
    <t>India, Kalaburagi</t>
  </si>
  <si>
    <t>Kalaburagi Junction - Ahmedabad Jn</t>
  </si>
  <si>
    <t>Kalaburagi Junction - Chennai Central</t>
  </si>
  <si>
    <t>Kalaburagi - Chennai</t>
  </si>
  <si>
    <t>Kalaburagi - Gujarat</t>
  </si>
  <si>
    <t>India, Basti</t>
  </si>
  <si>
    <t>Kalyan Jn - Basti</t>
  </si>
  <si>
    <t>Kalyan - Basti</t>
  </si>
  <si>
    <t>Kalyan Jn - Karwar</t>
  </si>
  <si>
    <t>Kalyan - Karwar</t>
  </si>
  <si>
    <t>India, Nagda</t>
  </si>
  <si>
    <t>Kalyan Jn - Nagda Junction</t>
  </si>
  <si>
    <t>Kalyan - Nagda</t>
  </si>
  <si>
    <t>India, Navsari</t>
  </si>
  <si>
    <t>Kalyan Jn - Navsari</t>
  </si>
  <si>
    <t>Kalyan - Navsari</t>
  </si>
  <si>
    <t>India, Pachora</t>
  </si>
  <si>
    <t>Kalyan Jn - Pachora Junction</t>
  </si>
  <si>
    <t>Kalyan - Pachora</t>
  </si>
  <si>
    <t>Kanhangad - Margao</t>
  </si>
  <si>
    <t>Kankanadi - Canacona Goa</t>
  </si>
  <si>
    <t>Kankanadi - Honavar</t>
  </si>
  <si>
    <t>Kankanadi - Jhansi</t>
  </si>
  <si>
    <t>India, Kumta</t>
  </si>
  <si>
    <t>Kankanadi - Kumta</t>
  </si>
  <si>
    <t>India, Ratnagiri</t>
  </si>
  <si>
    <t>Kankanadi - Ratnagiri</t>
  </si>
  <si>
    <t>Kannur - Anjuna</t>
  </si>
  <si>
    <t>Kannur - Old Goa</t>
  </si>
  <si>
    <t>India, Amethi</t>
  </si>
  <si>
    <t>Kanpur Central - Amethi</t>
  </si>
  <si>
    <t>Kanpur - Amethi</t>
  </si>
  <si>
    <t>Kanpur Central - Durg</t>
  </si>
  <si>
    <t>Kanpur - Durg</t>
  </si>
  <si>
    <t>India, Pune</t>
  </si>
  <si>
    <t>Kanyakumari - Pune</t>
  </si>
  <si>
    <t>Kanyakumari - Secunderabad</t>
  </si>
  <si>
    <t>Kanyakumari - Telangana</t>
  </si>
  <si>
    <t>India, Karnal</t>
  </si>
  <si>
    <t>Karnal - Vrindavan</t>
  </si>
  <si>
    <t>Karnataka - Arakkonam</t>
  </si>
  <si>
    <t>Karnataka - Bantwal</t>
  </si>
  <si>
    <t>Karnataka - Chandrapur</t>
  </si>
  <si>
    <t>Karnataka - Cuddalore</t>
  </si>
  <si>
    <t>Karnataka - Dharmapuri Tamil Nadu</t>
  </si>
  <si>
    <t>Karnataka - Durg</t>
  </si>
  <si>
    <t>India, Gadag</t>
  </si>
  <si>
    <t>Karnataka - Gadag</t>
  </si>
  <si>
    <t>India, Gauribidanur</t>
  </si>
  <si>
    <t>Karnataka - Gauribidanur</t>
  </si>
  <si>
    <t>Karnataka - Gooty</t>
  </si>
  <si>
    <t>Karnataka - Gorakhpur</t>
  </si>
  <si>
    <t>Karnataka - Harihar</t>
  </si>
  <si>
    <t>Bhalki - Hyderabad Decan</t>
  </si>
  <si>
    <t>Karnataka - Kanhangad</t>
  </si>
  <si>
    <t>India, Kuttippuram</t>
  </si>
  <si>
    <t>Karnataka - Kuttippuram</t>
  </si>
  <si>
    <t>Karnataka - Nanded</t>
  </si>
  <si>
    <t>Karnataka - Nizamabad</t>
  </si>
  <si>
    <t>Karnataka - Podanur</t>
  </si>
  <si>
    <t>Karnataka - Samalkot</t>
  </si>
  <si>
    <t>Karur - Tambaram</t>
  </si>
  <si>
    <t>Karwar - Alappuzha</t>
  </si>
  <si>
    <t>Karwar - Canacona Goa</t>
  </si>
  <si>
    <t>Karwar - Cancona</t>
  </si>
  <si>
    <t>Karwar - Kalyan</t>
  </si>
  <si>
    <t>Karwar - Kalyan Jn</t>
  </si>
  <si>
    <t>India, Kasara</t>
  </si>
  <si>
    <t>Kasara - Kalyan</t>
  </si>
  <si>
    <t>Kasara - Kalyan Jn</t>
  </si>
  <si>
    <t>Kasaragod - Kankanadi</t>
  </si>
  <si>
    <t>Kasaragod - Mumbai</t>
  </si>
  <si>
    <t>Kasaragod - New Delhi</t>
  </si>
  <si>
    <t>Kasaragod - Panvel</t>
  </si>
  <si>
    <t>Kathgodam - Jodhpur Jn</t>
  </si>
  <si>
    <t>Kathgodam - Jodhpur</t>
  </si>
  <si>
    <t>India, Kolkata</t>
  </si>
  <si>
    <t>Kathgodam - Kolkata</t>
  </si>
  <si>
    <t>Katihar Junction - Jaipur</t>
  </si>
  <si>
    <t>Katihar - Jaipur</t>
  </si>
  <si>
    <t>Katihar - Jammu Kashmir</t>
  </si>
  <si>
    <t>India, Katpadi</t>
  </si>
  <si>
    <t>Katpadi - Mughalsarai</t>
  </si>
  <si>
    <t>Katpadi - Telangana</t>
  </si>
  <si>
    <t>India, Katra Vaishno Devi</t>
  </si>
  <si>
    <t>Katra Vaishno Devi - Gwalior</t>
  </si>
  <si>
    <t>Katra Vaishno Devi - Madhya Pradesh</t>
  </si>
  <si>
    <t>India, Kavali</t>
  </si>
  <si>
    <t>Kavali - Tambaram</t>
  </si>
  <si>
    <t>Kavali - Telangana</t>
  </si>
  <si>
    <t>India, Kayamkulam</t>
  </si>
  <si>
    <t>Kayamkulam Junction - Kanyakumari</t>
  </si>
  <si>
    <t>Kayamkulam - Kanyakumari</t>
  </si>
  <si>
    <t>Kayamkulam - Maharashtra</t>
  </si>
  <si>
    <t>Kayamkulam Junction - Panvel</t>
  </si>
  <si>
    <t>Kayamkulam - Panvel</t>
  </si>
  <si>
    <t>India, Tiruppur</t>
  </si>
  <si>
    <t>Kayamkulam Junction - Tiruppur</t>
  </si>
  <si>
    <t>Kayamkulam - Tiruppur</t>
  </si>
  <si>
    <t>Kayamkulam - Tirupur</t>
  </si>
  <si>
    <t>Kayamkulam Junction - Varkala</t>
  </si>
  <si>
    <t>Kerala - Indore</t>
  </si>
  <si>
    <t>Khajuraho - Naini</t>
  </si>
  <si>
    <t>Khajuraho - Naini Junction</t>
  </si>
  <si>
    <t>India, Khammam</t>
  </si>
  <si>
    <t>Khammam - Delhi</t>
  </si>
  <si>
    <t>Khammam - Tambaram</t>
  </si>
  <si>
    <t>India, Khanapur</t>
  </si>
  <si>
    <t>Khanapur - Hampi</t>
  </si>
  <si>
    <t>India, Khandwa</t>
  </si>
  <si>
    <t>Khandwa - Maharashtra</t>
  </si>
  <si>
    <t>Khandwa - Manmad</t>
  </si>
  <si>
    <t>Khandwa - Manmad Junction</t>
  </si>
  <si>
    <t>Ernakulam Town North - Cancona</t>
  </si>
  <si>
    <t>India, Duvvada</t>
  </si>
  <si>
    <t>Ernakulam Town North - Duvvada</t>
  </si>
  <si>
    <t>Kochi India - Duvvada</t>
  </si>
  <si>
    <t>India, Kolhapur</t>
  </si>
  <si>
    <t>Kolhapur - Akola Junction</t>
  </si>
  <si>
    <t>Kolhapur - Akola</t>
  </si>
  <si>
    <t>Santragachi Junction - Ahmedabad Jn</t>
  </si>
  <si>
    <t>India, Amadalavalasa</t>
  </si>
  <si>
    <t>Kolkata - Amadalavalasa</t>
  </si>
  <si>
    <t>Kolkata - Daltonganj</t>
  </si>
  <si>
    <t>Kolkata - Jalgaon</t>
  </si>
  <si>
    <t>Kolkata - Murarai</t>
  </si>
  <si>
    <t>Sealdah - Murarai</t>
  </si>
  <si>
    <t>India, Rajkot</t>
  </si>
  <si>
    <t>Kolkata - Rajkot</t>
  </si>
  <si>
    <t>Shalimar - Rajkot</t>
  </si>
  <si>
    <t>India, Kollam</t>
  </si>
  <si>
    <t>Kollam - Old Goa</t>
  </si>
  <si>
    <t>India, Tenkasi</t>
  </si>
  <si>
    <t>Kollam - Tenkasi</t>
  </si>
  <si>
    <t>Kollam - Tenkasi Jn</t>
  </si>
  <si>
    <t>India, Simhachalam</t>
  </si>
  <si>
    <t>Koraput Junction - Simhachalam</t>
  </si>
  <si>
    <t>Koraput - Simhachalam</t>
  </si>
  <si>
    <t>India, Kosi Kalan</t>
  </si>
  <si>
    <t>Kosi Kalan - Delhi</t>
  </si>
  <si>
    <t>Kosi Kalan - Hazrat Nizamuddin</t>
  </si>
  <si>
    <t>Kosi Kalan - New Delhi</t>
  </si>
  <si>
    <t>India, Kota</t>
  </si>
  <si>
    <t>India, North Goa</t>
  </si>
  <si>
    <t>Kota - North Goa</t>
  </si>
  <si>
    <t>Kota - Old Goa</t>
  </si>
  <si>
    <t>Kota Jn - Prayagraj Junction</t>
  </si>
  <si>
    <t>Kota - Prayagraj</t>
  </si>
  <si>
    <t>India, Kothapatnam</t>
  </si>
  <si>
    <t>Kothapatnam - Rajahmundry</t>
  </si>
  <si>
    <t>India, Sultan Bathery</t>
  </si>
  <si>
    <t>Kozhikode - Sultan Bathery</t>
  </si>
  <si>
    <t>Kumta - Ernakulam Town North</t>
  </si>
  <si>
    <t>India, Kundapur</t>
  </si>
  <si>
    <t>Kundapura - Madgaon</t>
  </si>
  <si>
    <t>Kurduvadi - Navi Mumbai</t>
  </si>
  <si>
    <t>Kurduvadi - Panvel</t>
  </si>
  <si>
    <t>India, Kurnool</t>
  </si>
  <si>
    <t>Kurnool Town - Broadmeadow</t>
  </si>
  <si>
    <t>Kurnool - Newcastle New South Wales</t>
  </si>
  <si>
    <t>Kurnool Town - Mysore Jn</t>
  </si>
  <si>
    <t>Kurnool - Mysore</t>
  </si>
  <si>
    <t>India, Kurukshetra</t>
  </si>
  <si>
    <t>Kurukshetra - Haryana</t>
  </si>
  <si>
    <t>Kurukshetra Junction - Jammu Tawi</t>
  </si>
  <si>
    <t>Kurukshetra - Jammu</t>
  </si>
  <si>
    <t>Kurukshetra - Sikandra Agra</t>
  </si>
  <si>
    <t>Lingampalli - Indore</t>
  </si>
  <si>
    <t>Lingampalli - Indore Jn Bg</t>
  </si>
  <si>
    <t>India, Jangaon</t>
  </si>
  <si>
    <t>Lingampalli - Jangaon</t>
  </si>
  <si>
    <t>Lingampalli - Kalaburagi</t>
  </si>
  <si>
    <t>Lingampalli - Kalaburagi Junction</t>
  </si>
  <si>
    <t>Loni - Lucknow</t>
  </si>
  <si>
    <t>Loni - Prayagraj</t>
  </si>
  <si>
    <t>Lucknow Nr - Amethi</t>
  </si>
  <si>
    <t>Lucknow - Amethi</t>
  </si>
  <si>
    <t>Lucknow Nr - Jalandhar</t>
  </si>
  <si>
    <t>Lucknow - Jalandhar</t>
  </si>
  <si>
    <t>India, Orchha</t>
  </si>
  <si>
    <t>Lucknow - Orchha</t>
  </si>
  <si>
    <t>Lucknow - Sikandra Agra</t>
  </si>
  <si>
    <t>Lucknow Ne - Chandpur Siau</t>
  </si>
  <si>
    <t>Lucknow Nr - Chaukhandi</t>
  </si>
  <si>
    <t>Gomti Nagar Lucknow - Deen Dayal Upadhyaya Jn</t>
  </si>
  <si>
    <t>Lucknow Nr - Deen Dayal Upadhyaya Jn</t>
  </si>
  <si>
    <t>India, Ludhiana</t>
  </si>
  <si>
    <t>Ludhiana - Rohtak Junction</t>
  </si>
  <si>
    <t>Ludhiana - Moradabad</t>
  </si>
  <si>
    <t>Ludhiana - Muzaffarnagar</t>
  </si>
  <si>
    <t>India, Rohtak</t>
  </si>
  <si>
    <t>Ludhiana - Rohtak</t>
  </si>
  <si>
    <t>Ludhiana - Sikandra Agra</t>
  </si>
  <si>
    <t>India, Sirsa</t>
  </si>
  <si>
    <t>Ludhiana - Sirsa</t>
  </si>
  <si>
    <t>Ludhiana - Deen Dayal Upadhyaya Jn</t>
  </si>
  <si>
    <t>India, Madhupur</t>
  </si>
  <si>
    <t>Madhupur - Gujarat</t>
  </si>
  <si>
    <t>India, Ganj Basoda</t>
  </si>
  <si>
    <t>Madhya Pradesh - Ganj Basoda</t>
  </si>
  <si>
    <t>India, Pratapgarh</t>
  </si>
  <si>
    <t>Madhya Pradesh - Pratapgarh</t>
  </si>
  <si>
    <t>Madhya Pradesh - Tambaram</t>
  </si>
  <si>
    <t>India, Ariyalur</t>
  </si>
  <si>
    <t>Madurai Junction - Ariyalur</t>
  </si>
  <si>
    <t>Madurai - Ariyalur</t>
  </si>
  <si>
    <t>Madurai Junction - Jaipur</t>
  </si>
  <si>
    <t>Madurai - Jaipur</t>
  </si>
  <si>
    <t>India, Mahabalipuram</t>
  </si>
  <si>
    <t>Mahabalipuram - Ernakulam</t>
  </si>
  <si>
    <t>Mahabalipuram - Kochi India</t>
  </si>
  <si>
    <t>Maharashtra - Bathinda</t>
  </si>
  <si>
    <t>Sawantwadi Road - Bandra Terminus</t>
  </si>
  <si>
    <t>India, Ganagapur Road</t>
  </si>
  <si>
    <t>Maharashtra - Ganagapur Road</t>
  </si>
  <si>
    <t>Maharashtra - Godhra</t>
  </si>
  <si>
    <t>Purna Junction - Jaipur</t>
  </si>
  <si>
    <t>India, Kottayam</t>
  </si>
  <si>
    <t>Maharashtra - Kottayam</t>
  </si>
  <si>
    <t>Maharashtra - Moradabad</t>
  </si>
  <si>
    <t>Rotegaon - Mumbai Cst</t>
  </si>
  <si>
    <t>Latur Road - Secunderabad</t>
  </si>
  <si>
    <t>India, Tandur</t>
  </si>
  <si>
    <t>Maharashtra - Tandur</t>
  </si>
  <si>
    <t>India, Mahbubnagar</t>
  </si>
  <si>
    <t>Mahbubnagar - Visakhapatnam</t>
  </si>
  <si>
    <t>Mangalore Central - Birur Junction</t>
  </si>
  <si>
    <t>Mangalore - Birur</t>
  </si>
  <si>
    <t>Mangalore Jn - Honnavar</t>
  </si>
  <si>
    <t>Mangalore Jn - Kumta</t>
  </si>
  <si>
    <t>India, Manikpur</t>
  </si>
  <si>
    <t>Manikpur Junction - Banaras</t>
  </si>
  <si>
    <t>India, Manipal</t>
  </si>
  <si>
    <t>India, Trivandrum</t>
  </si>
  <si>
    <t>Manipal - Trivandrum</t>
  </si>
  <si>
    <t>Manmad Junction - Bhopal Jn</t>
  </si>
  <si>
    <t>Manmad Junction - Shalimar</t>
  </si>
  <si>
    <t>Manmad - Kolkata</t>
  </si>
  <si>
    <t>Manmad - West Bengal</t>
  </si>
  <si>
    <t>India, Mantralayam</t>
  </si>
  <si>
    <t>India, Hassan</t>
  </si>
  <si>
    <t>Manthralayam Road - Hassan</t>
  </si>
  <si>
    <t>Mantralayam - Hassan</t>
  </si>
  <si>
    <t>Margao - Davanagere</t>
  </si>
  <si>
    <t>Margao - Hisar</t>
  </si>
  <si>
    <t>India, Miraj</t>
  </si>
  <si>
    <t>Margao - Miraj</t>
  </si>
  <si>
    <t>Margao - Tirunelveli</t>
  </si>
  <si>
    <t>Mau Junction - Ghaziabad</t>
  </si>
  <si>
    <t>Mau - Ghaziabad</t>
  </si>
  <si>
    <t>India, Mavelikara</t>
  </si>
  <si>
    <t>Mavelikara - Coimbatore</t>
  </si>
  <si>
    <t>Moradabad - Abhaneri</t>
  </si>
  <si>
    <t>Moradabad - Muzaffarpur</t>
  </si>
  <si>
    <t>Moradabad - Muzaffarpur Junction</t>
  </si>
  <si>
    <t>India, Ramnagar Uttarakhand</t>
  </si>
  <si>
    <t>Moradabad - Ramnagar Uttarakhand</t>
  </si>
  <si>
    <t>Moradabad - Raja Ka Sahaspr</t>
  </si>
  <si>
    <t>Mughalsarai - Durgapur</t>
  </si>
  <si>
    <t>Mughalsarai - Jalpaiguri</t>
  </si>
  <si>
    <t>Mumbai Cst - Asansol Junction</t>
  </si>
  <si>
    <t>Lokmanya Tilak Term - Erode</t>
  </si>
  <si>
    <t>Mumbai - Erode</t>
  </si>
  <si>
    <t>Mumbai - Bangla</t>
  </si>
  <si>
    <t>Lokmanya Tilak Term - Kottayam</t>
  </si>
  <si>
    <t>Lokmanya Tilak Term - Kundapura</t>
  </si>
  <si>
    <t>India, Morbi</t>
  </si>
  <si>
    <t>Mumbai - Morbi</t>
  </si>
  <si>
    <t>India, Muniguda</t>
  </si>
  <si>
    <t>Muniguda - Duvvada</t>
  </si>
  <si>
    <t>Muniguda - Visakhapatnam</t>
  </si>
  <si>
    <t>India, Murdeshwar</t>
  </si>
  <si>
    <t>Murdeshwar - Anjuna</t>
  </si>
  <si>
    <t>Murdeshwar - North Goa</t>
  </si>
  <si>
    <t>India, Murshidabad</t>
  </si>
  <si>
    <t>Murshidabad - West Bengal</t>
  </si>
  <si>
    <t>Muzaffarnagar - Chandigarh</t>
  </si>
  <si>
    <t>Muzaffarnagar - Haryana</t>
  </si>
  <si>
    <t>India, Punjab</t>
  </si>
  <si>
    <t>Muzaffarnagar - Punjab</t>
  </si>
  <si>
    <t>India, Ujjain</t>
  </si>
  <si>
    <t>Muzaffarnagar - Ujjain</t>
  </si>
  <si>
    <t>Muzaffarpur Junction - Ahmedabad Jn</t>
  </si>
  <si>
    <t>Muzaffarpur - Chhattisgarh</t>
  </si>
  <si>
    <t>Muzaffarpur - Gujarat</t>
  </si>
  <si>
    <t>Muzaffarpur - Jamshedpur</t>
  </si>
  <si>
    <t>Muzaffarpur Junction - Raipur Jn</t>
  </si>
  <si>
    <t>Muzaffarpur - Raipur</t>
  </si>
  <si>
    <t>Muzaffarpur Junction - Tatanagar</t>
  </si>
  <si>
    <t>Muzaffarpur Junction - Kaptanganj Junction</t>
  </si>
  <si>
    <t>Mysore Jn - Kalaburagi Junction</t>
  </si>
  <si>
    <t>Mysore - Kalaburagi</t>
  </si>
  <si>
    <t>India, Mayiladuthurai</t>
  </si>
  <si>
    <t>Mysore Jn - Mayiladuturai Jn</t>
  </si>
  <si>
    <t>Mysore - Mayiladuthurai</t>
  </si>
  <si>
    <t>India, Raichur</t>
  </si>
  <si>
    <t>Mysore Jn - Raichur</t>
  </si>
  <si>
    <t>Mysore - Rajasthan</t>
  </si>
  <si>
    <t>India, Nadiad</t>
  </si>
  <si>
    <t>India, Anand Gujarat</t>
  </si>
  <si>
    <t>Nadiad Junction - Anand Jn</t>
  </si>
  <si>
    <t>India, Nagaland</t>
  </si>
  <si>
    <t>Nagaland - Gonda</t>
  </si>
  <si>
    <t>Nagaland - Maharashtra</t>
  </si>
  <si>
    <t>Nagaland - Mumbai</t>
  </si>
  <si>
    <t>India, Nagaon</t>
  </si>
  <si>
    <t>Nagaon - Kolkata</t>
  </si>
  <si>
    <t>Nagaon - West Bengal</t>
  </si>
  <si>
    <t>India, Nagaur</t>
  </si>
  <si>
    <t>Nagaur - Jalandhar</t>
  </si>
  <si>
    <t>Nagaur - Rajasthan</t>
  </si>
  <si>
    <t>Nagercoil Jn - Pune Jn</t>
  </si>
  <si>
    <t>Nagercoil - Pune</t>
  </si>
  <si>
    <t>India, Srirangam</t>
  </si>
  <si>
    <t>Nagercoil Town - Srirangam</t>
  </si>
  <si>
    <t>India, Thanjavur</t>
  </si>
  <si>
    <t>Nagercoil Jn - Thanjavur</t>
  </si>
  <si>
    <t>India, Vadodara</t>
  </si>
  <si>
    <t>Nagercoil Town - Vadodara</t>
  </si>
  <si>
    <t>Nagercoil - Vadodara</t>
  </si>
  <si>
    <t>Nagpur - Jharkhand</t>
  </si>
  <si>
    <t>Nagpur - Katpadi</t>
  </si>
  <si>
    <t>Nagpur - Katpadi Junction</t>
  </si>
  <si>
    <t>Nagpur - Mughalsarai</t>
  </si>
  <si>
    <t>India, Raigarh</t>
  </si>
  <si>
    <t>Nagpur - Raigarh</t>
  </si>
  <si>
    <t>India, Tirora</t>
  </si>
  <si>
    <t>Itwari - Tirora</t>
  </si>
  <si>
    <t>Nagpur - Tirora</t>
  </si>
  <si>
    <t>India, Vellore</t>
  </si>
  <si>
    <t>Nagpur - Vellore</t>
  </si>
  <si>
    <t>Naini Junction - Gorakhpur</t>
  </si>
  <si>
    <t>Naini - Gorakhpur</t>
  </si>
  <si>
    <t>Nandurbar - Ahmedabad Jn</t>
  </si>
  <si>
    <t>Nandurbar - Gujarat</t>
  </si>
  <si>
    <t>Navi Mumbai - Haryana</t>
  </si>
  <si>
    <t>India, Junagadh</t>
  </si>
  <si>
    <t>Navi Mumbai - Junagadh</t>
  </si>
  <si>
    <t>Navi Mumbai - Kollam</t>
  </si>
  <si>
    <t>Navi Mumbai - Lingampalli</t>
  </si>
  <si>
    <t>Navi Mumbai - Mathura</t>
  </si>
  <si>
    <t>Navi Mumbai - Mount Abu</t>
  </si>
  <si>
    <t>Navi Mumbai - Nagda</t>
  </si>
  <si>
    <t>India, Panipat</t>
  </si>
  <si>
    <t>Navi Mumbai - Panipat</t>
  </si>
  <si>
    <t>India, Pushkar</t>
  </si>
  <si>
    <t>Navi Mumbai - Pushkar</t>
  </si>
  <si>
    <t>India, Shoranur</t>
  </si>
  <si>
    <t>Navi Mumbai - Shoranur</t>
  </si>
  <si>
    <t>India, Viramgam</t>
  </si>
  <si>
    <t>Navi Mumbai - Viramgam</t>
  </si>
  <si>
    <t>Navi Mumbai - Vrindavan</t>
  </si>
  <si>
    <t>Navsari - Gandhidham Bg</t>
  </si>
  <si>
    <t>Navsari - Gandhidham</t>
  </si>
  <si>
    <t>India, Balotra</t>
  </si>
  <si>
    <t>New Delhi - Balotra</t>
  </si>
  <si>
    <t>New Delhi - Begu Sarai</t>
  </si>
  <si>
    <t>India, Bongaigaon</t>
  </si>
  <si>
    <t>New Delhi - Bongaigaon</t>
  </si>
  <si>
    <t>New Delhi - Burhanpur</t>
  </si>
  <si>
    <t>New Delhi - Gandhidham Bg</t>
  </si>
  <si>
    <t>New Delhi - Garwa Road</t>
  </si>
  <si>
    <t>India, Gauriganj</t>
  </si>
  <si>
    <t>New Delhi - Gauriganj</t>
  </si>
  <si>
    <t>India, Kokrajhar</t>
  </si>
  <si>
    <t>New Delhi - Kokrajhar</t>
  </si>
  <si>
    <t>India, Lakheri</t>
  </si>
  <si>
    <t>New Delhi - Lakheri</t>
  </si>
  <si>
    <t>India, Makrana</t>
  </si>
  <si>
    <t>New Delhi - Makrana</t>
  </si>
  <si>
    <t>New Delhi - Mankapur</t>
  </si>
  <si>
    <t>New Delhi - New Bongaigaon</t>
  </si>
  <si>
    <t xml:space="preserve">India, Phulera </t>
  </si>
  <si>
    <t>New Delhi - Phulera</t>
  </si>
  <si>
    <t>New Delhi - Kot Kapura</t>
  </si>
  <si>
    <t>New Delhi - Viramgam</t>
  </si>
  <si>
    <t>New Delhi - Vridhachalam</t>
  </si>
  <si>
    <t xml:space="preserve">India, Nidadavolu </t>
  </si>
  <si>
    <t>Nidadavolu Junction - Duvvada</t>
  </si>
  <si>
    <t>Nidadavolu - Duvvada</t>
  </si>
  <si>
    <t>India, Noida</t>
  </si>
  <si>
    <t>India, Mahoba</t>
  </si>
  <si>
    <t>Noida - Mahoba</t>
  </si>
  <si>
    <t>India, Okha</t>
  </si>
  <si>
    <t>India, Nathdwara</t>
  </si>
  <si>
    <t>Okha - Nathdwara</t>
  </si>
  <si>
    <t>Ongole - Puducherry</t>
  </si>
  <si>
    <t>India, Osmanabad</t>
  </si>
  <si>
    <t>Osmanabad - Pune Jn</t>
  </si>
  <si>
    <t>Osmanabad - Secunderabad</t>
  </si>
  <si>
    <t>Osmanabad - Telangana</t>
  </si>
  <si>
    <t>Palakkad - Varkala</t>
  </si>
  <si>
    <t>India, Palakollu</t>
  </si>
  <si>
    <t>Palakollu - Lingampalli</t>
  </si>
  <si>
    <t>India, Palani</t>
  </si>
  <si>
    <t>Palani - Tamil Nadu</t>
  </si>
  <si>
    <t>India, Palasa</t>
  </si>
  <si>
    <t>Palasa - Balasore</t>
  </si>
  <si>
    <t>Palasa - Chandipur</t>
  </si>
  <si>
    <t>Palasa - Duvvada</t>
  </si>
  <si>
    <t>India, Pandavapura</t>
  </si>
  <si>
    <t>Pandavapura - Karnataka</t>
  </si>
  <si>
    <t>India, Pandharpur</t>
  </si>
  <si>
    <t>Pandharpur - Yesvantpur</t>
  </si>
  <si>
    <t>Pandharpur - Karnataka</t>
  </si>
  <si>
    <t>Panipat Junction - Kurukshetra Junction</t>
  </si>
  <si>
    <t>Panipat - Kurukshetra</t>
  </si>
  <si>
    <t>Panipat Junction - Pune Jn</t>
  </si>
  <si>
    <t>Panipat - Pune</t>
  </si>
  <si>
    <t>India, Ankola</t>
  </si>
  <si>
    <t>Panvel - Ankola</t>
  </si>
  <si>
    <t>India, Barshi</t>
  </si>
  <si>
    <t>Panvel - Barshi</t>
  </si>
  <si>
    <t>Panvel - Barsi Town</t>
  </si>
  <si>
    <t>Panvel - Durg</t>
  </si>
  <si>
    <t>Panvel - Abu Road</t>
  </si>
  <si>
    <t>Panvel - Mount Abu</t>
  </si>
  <si>
    <t>Panvel - Pali Marwar</t>
  </si>
  <si>
    <t>Panvel - Pali Rajasthan</t>
  </si>
  <si>
    <t>India, Parasnath</t>
  </si>
  <si>
    <t>Parasnath - Delhi</t>
  </si>
  <si>
    <t>Parasnath - Sabzi Mandi</t>
  </si>
  <si>
    <t>India, Pathankot</t>
  </si>
  <si>
    <t>India, Ambala City</t>
  </si>
  <si>
    <t>Pathankot Cantt - Ambala City</t>
  </si>
  <si>
    <t>Pathankot Cantt - Bandra Terminus</t>
  </si>
  <si>
    <t>Pathankot - Borivali</t>
  </si>
  <si>
    <t>Patiala - Jodhpur</t>
  </si>
  <si>
    <t>Patiala - Jodhpur Jn</t>
  </si>
  <si>
    <t>Patna Jn - Bilaspur Jn</t>
  </si>
  <si>
    <t>Patna - Bilaspur</t>
  </si>
  <si>
    <t>Patna Jn - Chhapra</t>
  </si>
  <si>
    <t>Patna - Chhapra</t>
  </si>
  <si>
    <t>Patna Jn - Katpadi Junction</t>
  </si>
  <si>
    <t>Patna - Katpadi</t>
  </si>
  <si>
    <t>Patna Jn - Sahibganj Junction</t>
  </si>
  <si>
    <t>Patna - Sahibganj</t>
  </si>
  <si>
    <t>Patna Jn - Deen Dayal Upadhyaya Jn</t>
  </si>
  <si>
    <t>Patna - Vellore</t>
  </si>
  <si>
    <t>India, Phagwara</t>
  </si>
  <si>
    <t>Phagwara Junction - Moradabad</t>
  </si>
  <si>
    <t>Phagwara - Moradabad</t>
  </si>
  <si>
    <t>India, Gurgaon</t>
  </si>
  <si>
    <t>Phulera - Gurgaon</t>
  </si>
  <si>
    <t>India, Pimpri Chinchwad</t>
  </si>
  <si>
    <t>India, Lonavala</t>
  </si>
  <si>
    <t>Chinchvad - Lonavala</t>
  </si>
  <si>
    <t>Pimpri Chinchwad - Lonavala</t>
  </si>
  <si>
    <t>Podanur Junction - Duvvada</t>
  </si>
  <si>
    <t>Podanur - Duvvada</t>
  </si>
  <si>
    <t>Podanur Junction - Visakhapatnam</t>
  </si>
  <si>
    <t>Podanur - Visakhapatnam</t>
  </si>
  <si>
    <t>Pratapgarh - Uttar Pradesh</t>
  </si>
  <si>
    <t>Prayagraj Junction - Amritsar Jn</t>
  </si>
  <si>
    <t>Prayagraj - Amritsar</t>
  </si>
  <si>
    <t>India, Chitrakoot</t>
  </si>
  <si>
    <t>Prayagraj Junction - Chitrakot</t>
  </si>
  <si>
    <t>Prayagraj Cheoki Jn - Gaya Jn</t>
  </si>
  <si>
    <t>Subedarganj - Jaipur</t>
  </si>
  <si>
    <t>Prayagraj Junction - Rajendra Nagar</t>
  </si>
  <si>
    <t>Prayag - Prayagraj Junction</t>
  </si>
  <si>
    <t>Prayagraj - Rohtak</t>
  </si>
  <si>
    <t>Prayagraj Junction - Tatanagar</t>
  </si>
  <si>
    <t>Prayagraj - Tatanagar</t>
  </si>
  <si>
    <t>Prayagraj Junction - Deen Dayal Upadhyaya Jn</t>
  </si>
  <si>
    <t>India, Pudukkottai</t>
  </si>
  <si>
    <t>Pudukkottai - Tambaram</t>
  </si>
  <si>
    <t>Pune Jn - Broadmeadow</t>
  </si>
  <si>
    <t>Pune - Newcastle New South Wales</t>
  </si>
  <si>
    <t>Pune Jn - Brahmapur</t>
  </si>
  <si>
    <t>Pune - Brahmapur</t>
  </si>
  <si>
    <t>Pune - Gopalpur Odisha</t>
  </si>
  <si>
    <t>Pune Jn - Cuddapah</t>
  </si>
  <si>
    <t>Pune - Kadapa</t>
  </si>
  <si>
    <t>Pune - Sikandra Agra</t>
  </si>
  <si>
    <t>Firozpur Cant - Ayodhya</t>
  </si>
  <si>
    <t>Rampura Phul - Delhi</t>
  </si>
  <si>
    <t>Rampura Phul - Delhi Sarai Rohilla</t>
  </si>
  <si>
    <t>Punjab - Durgapur</t>
  </si>
  <si>
    <t>Firozpur Cant - Ayodhya Cantt</t>
  </si>
  <si>
    <t>Punjab - Madhya Pradesh</t>
  </si>
  <si>
    <t>Punjab - Mughalsarai</t>
  </si>
  <si>
    <t>Punjab - Najibabad</t>
  </si>
  <si>
    <t>Punjab - Sikandra Agra</t>
  </si>
  <si>
    <t>Thailand, Bangkok Airport</t>
  </si>
  <si>
    <t>Punjab - Bangkok Airport</t>
  </si>
  <si>
    <t>Thailand, Rangsit</t>
  </si>
  <si>
    <t>Punjab - Rangsit</t>
  </si>
  <si>
    <t>India, Puri</t>
  </si>
  <si>
    <t>Puri - Gopalpur Odisha</t>
  </si>
  <si>
    <t>Puri - Gujarat</t>
  </si>
  <si>
    <t>Puri - Jharkhand</t>
  </si>
  <si>
    <t>India, Rairakhol</t>
  </si>
  <si>
    <t>Puri - Rairakhol</t>
  </si>
  <si>
    <t>India, Tirupati</t>
  </si>
  <si>
    <t>Puri - Tirupati</t>
  </si>
  <si>
    <t>Puri - Vrindavan</t>
  </si>
  <si>
    <t>India, Purna</t>
  </si>
  <si>
    <t>Purna - Jaipur</t>
  </si>
  <si>
    <t>India, Purnia</t>
  </si>
  <si>
    <t>India, Danapur</t>
  </si>
  <si>
    <t>Purnea Junction - Danapur</t>
  </si>
  <si>
    <t>Purnia - Danapur</t>
  </si>
  <si>
    <t>India, Bharatpur Rajasthan</t>
  </si>
  <si>
    <t>Pushkar - Bharatpur Rajasthan</t>
  </si>
  <si>
    <t>India, Bhilwara</t>
  </si>
  <si>
    <t>Pushkar - Bhilwara</t>
  </si>
  <si>
    <t>Pushkar - Bhuj</t>
  </si>
  <si>
    <t>Pushkar - Gurgaon</t>
  </si>
  <si>
    <t>Pushkar - Haryana</t>
  </si>
  <si>
    <t>Pushkar - Jammu</t>
  </si>
  <si>
    <t>Pushkar - Jammu And Kashmir</t>
  </si>
  <si>
    <t>Pushkar - Jammu Kashmir</t>
  </si>
  <si>
    <t>Pushkar - Kalyan</t>
  </si>
  <si>
    <t>Pushkar - Madhya Pradesh</t>
  </si>
  <si>
    <t>Pushkar - Sikandra Agra</t>
  </si>
  <si>
    <t>Pushkar - Surat</t>
  </si>
  <si>
    <t>Pushkar - West Bengal</t>
  </si>
  <si>
    <t>Puttaparthi - Telangana</t>
  </si>
  <si>
    <t>India, Puttur</t>
  </si>
  <si>
    <t>Puttur - Tambaram</t>
  </si>
  <si>
    <t xml:space="preserve">India, Rae Bareli </t>
  </si>
  <si>
    <t>Rae Bareli Junction - Prayag</t>
  </si>
  <si>
    <t>India, Vizianagram</t>
  </si>
  <si>
    <t>Raipur Jn - Vizianagram Junction</t>
  </si>
  <si>
    <t>Raipur - Vizianagram</t>
  </si>
  <si>
    <t>Rajahmundry - Bhimavaram Town</t>
  </si>
  <si>
    <t>Rajahmundry - Bhimavaram</t>
  </si>
  <si>
    <t>Suratgarh Junction - Delhi</t>
  </si>
  <si>
    <t>Suratgarh Junction - Delhi Sarai Rohilla</t>
  </si>
  <si>
    <t>Phulera Junction - Gurgaon</t>
  </si>
  <si>
    <t>Abu Road - Gurugram Gurgaon</t>
  </si>
  <si>
    <t>Chittor - Allahabad</t>
  </si>
  <si>
    <t>Bayana Junction - Tundla Junction</t>
  </si>
  <si>
    <t>Rajkot - Santragachi Junction</t>
  </si>
  <si>
    <t>Ranchi - Sambalpur City</t>
  </si>
  <si>
    <t>Rangiya Junction - Prayagraj Junction</t>
  </si>
  <si>
    <t>Rangiya - Prayagraj</t>
  </si>
  <si>
    <t>India, Raxaul</t>
  </si>
  <si>
    <t>Raxaul Junction - Narkatiaganj Junction</t>
  </si>
  <si>
    <t>India, Rayagada</t>
  </si>
  <si>
    <t>Rayagada - Hyderabad</t>
  </si>
  <si>
    <t>Rayagada - Secunderabad</t>
  </si>
  <si>
    <t>India, Rishikesh</t>
  </si>
  <si>
    <t>Rishikesh - Patiala</t>
  </si>
  <si>
    <t>Rohtak - Katra Vaishno Devi</t>
  </si>
  <si>
    <t>Rohtak - Shri Mata Vaishno</t>
  </si>
  <si>
    <t>India, Roorkee</t>
  </si>
  <si>
    <t>India, Mohali</t>
  </si>
  <si>
    <t>Roorkee - Sahibzada Ajeet Singh Nagar Mohali</t>
  </si>
  <si>
    <t>Roorkee - Mohali</t>
  </si>
  <si>
    <t>Sagar - Gwalior</t>
  </si>
  <si>
    <t>Saugor - Gwalior Jn</t>
  </si>
  <si>
    <t>Sagar - Mughalsarai</t>
  </si>
  <si>
    <t>Sahibganj Junction - Delhi</t>
  </si>
  <si>
    <t>Sahibganj - Delhi</t>
  </si>
  <si>
    <t>India, Sainthia</t>
  </si>
  <si>
    <t>Sainthia - Barddhaman Junction</t>
  </si>
  <si>
    <t>Sainthia - Bardhaman</t>
  </si>
  <si>
    <t>Salem Junction - Hubballi Jn</t>
  </si>
  <si>
    <t>Salem - Hubli</t>
  </si>
  <si>
    <t>India, Samastipur</t>
  </si>
  <si>
    <t>India, Kishanganj</t>
  </si>
  <si>
    <t>Samastipur Junction - Kishanganj</t>
  </si>
  <si>
    <t>India, Saharsa</t>
  </si>
  <si>
    <t>Samastipur Junction - Saharsa Junction</t>
  </si>
  <si>
    <t>Samastipur - Saharsa</t>
  </si>
  <si>
    <t>Sambalpur - Mughalsarai</t>
  </si>
  <si>
    <t>India, Sangrur</t>
  </si>
  <si>
    <t>Sangrur - Vrindavan</t>
  </si>
  <si>
    <t>India, Satna</t>
  </si>
  <si>
    <t>Satna - Prayagraj</t>
  </si>
  <si>
    <t>India, Aler</t>
  </si>
  <si>
    <t>Secunderabad - Aler</t>
  </si>
  <si>
    <t>India, Wadi</t>
  </si>
  <si>
    <t>Secunderabad - Wadi</t>
  </si>
  <si>
    <t>Sevagram - Durg</t>
  </si>
  <si>
    <t xml:space="preserve">India, Shahganj </t>
  </si>
  <si>
    <t>Shahganj Junction - Lokmanya Tilak Term</t>
  </si>
  <si>
    <t>Shahganj - Mumbai</t>
  </si>
  <si>
    <t>Shri Mata Vaishno - Gwalior Jn</t>
  </si>
  <si>
    <t>Sonipat - Prayagraj</t>
  </si>
  <si>
    <t>Sonipat - Prayagraj Junction</t>
  </si>
  <si>
    <t>Sri Ganganagar - Maharashtra</t>
  </si>
  <si>
    <t>Sri Ganganagar - Navi Mumbai</t>
  </si>
  <si>
    <t>India, Tindivanam</t>
  </si>
  <si>
    <t>Srirangam - Tindivanam</t>
  </si>
  <si>
    <t>India, Sujangarh Rajasthan</t>
  </si>
  <si>
    <t>Sujangarh Rajasthan - New Delhi</t>
  </si>
  <si>
    <t>India, Sullurupeta</t>
  </si>
  <si>
    <t>Sullurupeta - Andhra Pradesh</t>
  </si>
  <si>
    <t>Sullurupeta - Chennai</t>
  </si>
  <si>
    <t>Sullurupeta - Chennai Central</t>
  </si>
  <si>
    <t>Sultan Bathery - Bangalore</t>
  </si>
  <si>
    <t>Sultan Bathery - Karnataka</t>
  </si>
  <si>
    <t>India, Sultanpur</t>
  </si>
  <si>
    <t>Sultanpur - Uttar Pradesh</t>
  </si>
  <si>
    <t>Surat - Haryana</t>
  </si>
  <si>
    <t>Surat - Navi Mumbai</t>
  </si>
  <si>
    <t>Surat - Wardha</t>
  </si>
  <si>
    <t>Surat - Wardha Junction</t>
  </si>
  <si>
    <t>India, Suratgarh</t>
  </si>
  <si>
    <t>Suratgarh - New Delhi</t>
  </si>
  <si>
    <t>India, Suwasra</t>
  </si>
  <si>
    <t>Suwasra - Indore Jn Bg</t>
  </si>
  <si>
    <t>Suwasra - Indore</t>
  </si>
  <si>
    <t>India, Tadepalligudem</t>
  </si>
  <si>
    <t>Tadepalligudem - Rajahmundry</t>
  </si>
  <si>
    <t>Tadepalligudem - Vijayawada Jn</t>
  </si>
  <si>
    <t>Taj Mahal - Anjuna</t>
  </si>
  <si>
    <t>Taj Mahal - Badshahnagar</t>
  </si>
  <si>
    <t>Taj Mahal - Coimbatore</t>
  </si>
  <si>
    <t>India, Kishangarh</t>
  </si>
  <si>
    <t>Taj Mahal - Kishangarh</t>
  </si>
  <si>
    <t>Taj Mahal - Roorkee</t>
  </si>
  <si>
    <t>Taj Mahal - Sabarmati</t>
  </si>
  <si>
    <t>Taj Mahal - Tamil Nadu</t>
  </si>
  <si>
    <t>India, Talcher</t>
  </si>
  <si>
    <t>Talcher - Raipur</t>
  </si>
  <si>
    <t>Tambaram - Erode</t>
  </si>
  <si>
    <t>Tambaram - Kannur</t>
  </si>
  <si>
    <t>India, Karaikal</t>
  </si>
  <si>
    <t>Tambaram - Karaikal</t>
  </si>
  <si>
    <t>Tambaram - Nagpur</t>
  </si>
  <si>
    <t>India, Tadipatri</t>
  </si>
  <si>
    <t>Tambaram - Tadipatri</t>
  </si>
  <si>
    <t>India, Thirunallar Puducherry</t>
  </si>
  <si>
    <t>Tambaram - Thirunallar Puducherry</t>
  </si>
  <si>
    <t>Tambaram - West Bengal</t>
  </si>
  <si>
    <t>Tamil Nadu - Bhopal</t>
  </si>
  <si>
    <t>Satur - Chennai Egmore</t>
  </si>
  <si>
    <t>Tamil Nadu - Karaikal</t>
  </si>
  <si>
    <t>Tamil Nadu - Madhya Pradesh</t>
  </si>
  <si>
    <t>India, Morappur</t>
  </si>
  <si>
    <t>Tamil Nadu - Morappur</t>
  </si>
  <si>
    <t>India, Ramanathapuram</t>
  </si>
  <si>
    <t>Tamil Nadu - Ramanathapuram</t>
  </si>
  <si>
    <t>Tamil Nadu - Thirunallar Puducherry</t>
  </si>
  <si>
    <t>Tandur - Ksr Bangalore</t>
  </si>
  <si>
    <t>Tandur - Yesvantpur</t>
  </si>
  <si>
    <t>Tandur - Bangalore</t>
  </si>
  <si>
    <t>Tatanagar - Yesvantpur</t>
  </si>
  <si>
    <t>Tatanagar - Buxar</t>
  </si>
  <si>
    <t>Telangana - Aler</t>
  </si>
  <si>
    <t>Ichoda - Bangalore</t>
  </si>
  <si>
    <t>Adilabad - Khammam</t>
  </si>
  <si>
    <t>India, Tiruchirappalli</t>
  </si>
  <si>
    <t>Tiruchchirappalli Junction - Nagapattinam Junction</t>
  </si>
  <si>
    <t>Tiruppur - Jolarpet</t>
  </si>
  <si>
    <t>Tiruppur - Jolarpettai</t>
  </si>
  <si>
    <t>Tiruppur - Lokmanya Tilak Term</t>
  </si>
  <si>
    <t>India, Tirur</t>
  </si>
  <si>
    <t>Tirur - Kochuveli</t>
  </si>
  <si>
    <t>Tirur - Trivandrum Central</t>
  </si>
  <si>
    <t>Kochuveli - Perambur</t>
  </si>
  <si>
    <t>Trivandrum Central - Dindigul Junction</t>
  </si>
  <si>
    <t>Trivandrum Central - Palani</t>
  </si>
  <si>
    <t>Trivandrum - Palani</t>
  </si>
  <si>
    <t>Kazhakkoottam - Puducherry</t>
  </si>
  <si>
    <t>Tundla Junction - Badshahnagar</t>
  </si>
  <si>
    <t>India, Udaipur</t>
  </si>
  <si>
    <t>Udaipur - Kosi Kalan</t>
  </si>
  <si>
    <t>India, Udupi</t>
  </si>
  <si>
    <t>Udupi - Canacona Goa</t>
  </si>
  <si>
    <t>Udupi - Kanhangad</t>
  </si>
  <si>
    <t>Udupi - Trivandrum Central</t>
  </si>
  <si>
    <t>Ujjain - Khandwa</t>
  </si>
  <si>
    <t>Chandpur Siau - Lucknow Ne</t>
  </si>
  <si>
    <t>Vapi - Abu Road</t>
  </si>
  <si>
    <t>Vapi - Mughal Sarai Junction</t>
  </si>
  <si>
    <t>Vapi - Varanasi</t>
  </si>
  <si>
    <t>Deen Dayal Upadhyaya Jn - Agra Cantt</t>
  </si>
  <si>
    <t>Deen Dayal Upadhyaya Jn - Ayodhya</t>
  </si>
  <si>
    <t>India, Bikaner</t>
  </si>
  <si>
    <t>Varanasi Jn - Bikaner Jn</t>
  </si>
  <si>
    <t>Varanasi - Bikaner</t>
  </si>
  <si>
    <t>Mughal Sarai Junction - Deoghar Junction</t>
  </si>
  <si>
    <t>Deen Dayal Upadhyaya Jn - Ayodhya Cantt</t>
  </si>
  <si>
    <t>Deen Dayal Upadhyaya Jn - Gaya Jn</t>
  </si>
  <si>
    <t>Banaras - Jhusi</t>
  </si>
  <si>
    <t>Varanasi Jn - Jhusi</t>
  </si>
  <si>
    <t>Varanasi - Jhusi</t>
  </si>
  <si>
    <t>Deen Dayal Upadhyaya Jn - Ernakulam Town North</t>
  </si>
  <si>
    <t>Deen Dayal Upadhyaya Jn - Sealdah</t>
  </si>
  <si>
    <t>India, Laksar</t>
  </si>
  <si>
    <t>Deen Dayal Upadhyaya Jn - Laksar Junction</t>
  </si>
  <si>
    <t>Varanasi - Laksar</t>
  </si>
  <si>
    <t>Deen Dayal Upadhyaya Jn - Lucknow Nr</t>
  </si>
  <si>
    <t>Deen Dayal Upadhyaya Jn - Mathura Jn</t>
  </si>
  <si>
    <t>Deen Dayal Upadhyaya Jn - Najibabad Junction</t>
  </si>
  <si>
    <t>Varanasi - Najibabad</t>
  </si>
  <si>
    <t>Deen Dayal Upadhyaya Jn - Prayagraj Junction</t>
  </si>
  <si>
    <t>Deen Dayal Upadhyaya Jn - Secunderabad</t>
  </si>
  <si>
    <t>Deen Dayal Upadhyaya Jn - Tundla Junction</t>
  </si>
  <si>
    <t>Banaras - Deen Dayal Upadhyaya Jn</t>
  </si>
  <si>
    <t>Deen Dayal Upadhyaya Jn - Banaras</t>
  </si>
  <si>
    <t>Deen Dayal Upadhyaya Jn - Varanasi Jn</t>
  </si>
  <si>
    <t>Varanasi Jn - Deen Dayal Upadhyaya Jn</t>
  </si>
  <si>
    <t>India, Vidisha</t>
  </si>
  <si>
    <t>Vidisha - Habibganj</t>
  </si>
  <si>
    <t>Vijayawada Jn - Mancherial</t>
  </si>
  <si>
    <t>Vijayawada - Manchiryal</t>
  </si>
  <si>
    <t>Vijayawada Jn - Simhachalam</t>
  </si>
  <si>
    <t>Viramgam Junction - Hapa</t>
  </si>
  <si>
    <t>Viramgam Junction - Jamnagar</t>
  </si>
  <si>
    <t>Viramgam - Jamnagar</t>
  </si>
  <si>
    <t>Vizianagram Junction - Howrah</t>
  </si>
  <si>
    <t>Vizianagram - Howrah</t>
  </si>
  <si>
    <t>India, Bhilai</t>
  </si>
  <si>
    <t>Wardha Junction - Bhilai</t>
  </si>
  <si>
    <t>Wardha Junction - Bhilai Power House</t>
  </si>
  <si>
    <t>Wardha - Bhilai</t>
  </si>
  <si>
    <t>India, Yamunanagar Jagadhri</t>
  </si>
  <si>
    <t>Yamunanagar Jagadhri - Haridwar Jn</t>
  </si>
  <si>
    <t>Yamunanagar Jagadhri - Haridwar</t>
  </si>
  <si>
    <t>Yamunanagar Jagadhri - Varanasi</t>
  </si>
  <si>
    <t>Yamunanagar Jagadhri - Varanasi Jn</t>
  </si>
  <si>
    <t>Indonesia, Bali</t>
  </si>
  <si>
    <t>Amed Transfer - Nusa Dua Transfer</t>
  </si>
  <si>
    <t>charter | MPV 4pax</t>
  </si>
  <si>
    <t>Amed Transfer - Uluwatu Transfer</t>
  </si>
  <si>
    <t>Bondalem - Amed Transfer</t>
  </si>
  <si>
    <t>charter | Comfort 2pax old</t>
  </si>
  <si>
    <t>Bondalem - Gilimanuk Port</t>
  </si>
  <si>
    <t>Bondalem - Lovina</t>
  </si>
  <si>
    <t>Bondalem - Padang Bai Transfer</t>
  </si>
  <si>
    <t>Munduk Transfer - Amed Transfer</t>
  </si>
  <si>
    <t>Munduk Transfer - Gilimanuk Transfer</t>
  </si>
  <si>
    <t>Munduk Transfer - Lovina</t>
  </si>
  <si>
    <t>Nusa Dua Transfer - Bondalem</t>
  </si>
  <si>
    <t>Nusa Dua Transfer - Gilimanuk Port</t>
  </si>
  <si>
    <t>Nusa Dua Transfer - Lovina</t>
  </si>
  <si>
    <t>Nusa Dua Transfer - Tejakula Transfer</t>
  </si>
  <si>
    <t>Tejakula Transfer - Lovina</t>
  </si>
  <si>
    <t>charter | Economy 2pax</t>
  </si>
  <si>
    <t>Indonesia, Gili Islands</t>
  </si>
  <si>
    <t>Candidasa Transfer - Gili Air</t>
  </si>
  <si>
    <t>bus | Minibus + Speedboat</t>
  </si>
  <si>
    <t>Candidasa Transfer - Gili Trawangan Port</t>
  </si>
  <si>
    <t>Canggu Transfer - Gili Air</t>
  </si>
  <si>
    <t>Canggu Transfer - Gili Trawangan Port</t>
  </si>
  <si>
    <t>Jimbaran Transfer - Gili Air</t>
  </si>
  <si>
    <t>Jimbaran Transfer - Gili Trawangan Port</t>
  </si>
  <si>
    <t>Kuta Transfer - Gili Air</t>
  </si>
  <si>
    <t>Kuta Transfer - Gili Trawangan Port</t>
  </si>
  <si>
    <t>Legian Transfer - Gili Air</t>
  </si>
  <si>
    <t>Legian Transfer - Gili Trawangan Port</t>
  </si>
  <si>
    <t>Nusa Dua Transfer - Gili Air</t>
  </si>
  <si>
    <t>Nusa Dua Transfer - Gili Trawangan Port</t>
  </si>
  <si>
    <t>Padang Bai Pier - Gili Air</t>
  </si>
  <si>
    <t>Padang Bai Pier - Gili Trawangan Port</t>
  </si>
  <si>
    <t>Pecatu Transfer - Gili Air</t>
  </si>
  <si>
    <t>Pecatu Transfer - Gili Trawangan Port</t>
  </si>
  <si>
    <t>Sidemen Transfer - Gili Air</t>
  </si>
  <si>
    <t>Sidemen Transfer - Gili Trawangan Port</t>
  </si>
  <si>
    <t>Tirta Gangga Transfer - Gili Air</t>
  </si>
  <si>
    <t>Tirta Gangga Transfer - Gili Trawangan Port</t>
  </si>
  <si>
    <t>Tulamben Transfer - Gili Air</t>
  </si>
  <si>
    <t>Tulamben Transfer - Gili Trawangan Port</t>
  </si>
  <si>
    <t>Uluwatu Transfer - Gili Air</t>
  </si>
  <si>
    <t>Uluwatu Transfer - Gili Trawangan Port</t>
  </si>
  <si>
    <t>Indonesia, Kintamani</t>
  </si>
  <si>
    <t>Nusa Dua Transfer - Kintamani Transfer</t>
  </si>
  <si>
    <t>Indonesia, Lombok</t>
  </si>
  <si>
    <t>Candidasa Transfer - Bangsal Pier</t>
  </si>
  <si>
    <t>Canggu Transfer - Bangsal Pier</t>
  </si>
  <si>
    <t>Jimbaran Transfer - Bangsal Pier</t>
  </si>
  <si>
    <t>Kuta Transfer - Bangsal Pier</t>
  </si>
  <si>
    <t>Legian Transfer - Bangsal Pier</t>
  </si>
  <si>
    <t>Nusa Dua Transfer - Bangsal Pier</t>
  </si>
  <si>
    <t>Padang Bai Pier - Bangsal Pier</t>
  </si>
  <si>
    <t>Pecatu Transfer - Bangsal Pier</t>
  </si>
  <si>
    <t>Sidemen Transfer - Bangsal Pier</t>
  </si>
  <si>
    <t>Tirta Gangga Transfer - Bangsal Pier</t>
  </si>
  <si>
    <t>Tulamben Transfer - Bangsal Pier</t>
  </si>
  <si>
    <t>Uluwatu Transfer - Bangsal Pier</t>
  </si>
  <si>
    <t>Canggu Transfer - Banjar Nyuh Harbour</t>
  </si>
  <si>
    <t>Jimbaran Transfer - Banjar Nyuh Harbour</t>
  </si>
  <si>
    <t>Kuta Transfer - Banjar Nyuh Harbour</t>
  </si>
  <si>
    <t>Legian Transfer - Banjar Nyuh Harbour</t>
  </si>
  <si>
    <t>Nusa Dua Transfer - Banjar Nyuh Harbour</t>
  </si>
  <si>
    <t>Tegalalang Transfer - Banjar Nyuh Harbour</t>
  </si>
  <si>
    <t>Uluwatu Transfer - Banjar Nyuh Harbour</t>
  </si>
  <si>
    <t>Indonesia, Banten</t>
  </si>
  <si>
    <t>Indonesia, South Sumatra</t>
  </si>
  <si>
    <t>Banten - South Sumatra</t>
  </si>
  <si>
    <t>Indonesia, Canggu</t>
  </si>
  <si>
    <t>Canggu - Brisbane</t>
  </si>
  <si>
    <t>Australia, Ipswich City</t>
  </si>
  <si>
    <t>Canggu - Ipswich City</t>
  </si>
  <si>
    <t>Australia, Moreton Bay</t>
  </si>
  <si>
    <t>Canggu - Moreton Bay</t>
  </si>
  <si>
    <t>Australia, North Stradbroke Island</t>
  </si>
  <si>
    <t>Canggu - North Stradbroke Island</t>
  </si>
  <si>
    <t>Indonesia, Balikpapan</t>
  </si>
  <si>
    <t>Canggu - Balikpapan</t>
  </si>
  <si>
    <t>Indonesia, Bandjarmasin</t>
  </si>
  <si>
    <t>Canggu - Bandjarmasin</t>
  </si>
  <si>
    <t>Indonesia, Bima</t>
  </si>
  <si>
    <t>Canggu - Bima</t>
  </si>
  <si>
    <t>Popular Market Deli Canggu - Gili Air</t>
  </si>
  <si>
    <t>Popular Market Deli Canggu - Gili Meno</t>
  </si>
  <si>
    <t>Indonesia, Gili Trawangan</t>
  </si>
  <si>
    <t>Popular Market Deli Canggu - Gili Trawangan Beach</t>
  </si>
  <si>
    <t>Indonesia, Klaten</t>
  </si>
  <si>
    <t>Canggu - Klaten</t>
  </si>
  <si>
    <t>Popular Market Deli Canggu - Bangsal Indah</t>
  </si>
  <si>
    <t>Indonesia, Medan</t>
  </si>
  <si>
    <t>Canggu - Medan</t>
  </si>
  <si>
    <t>Indonesia, North Sumatra</t>
  </si>
  <si>
    <t>Canggu - North Sumatra</t>
  </si>
  <si>
    <t>Indonesia, Raba</t>
  </si>
  <si>
    <t>Canggu - Raba</t>
  </si>
  <si>
    <t>Indonesia, Rinca</t>
  </si>
  <si>
    <t>Canggu - Rinca</t>
  </si>
  <si>
    <t>Indonesia, Ruteng</t>
  </si>
  <si>
    <t>Canggu - Ruteng</t>
  </si>
  <si>
    <t>Indonesia, South Kalimantan</t>
  </si>
  <si>
    <t>Canggu - South Kalimantan</t>
  </si>
  <si>
    <t>Indonesia, Yogyakarta Airport</t>
  </si>
  <si>
    <t>Canggu - Yogyakarta Airport</t>
  </si>
  <si>
    <t>Indonesia, Central Java</t>
  </si>
  <si>
    <t>Indonesia, Mengwi</t>
  </si>
  <si>
    <t>Central Java - Mengwi</t>
  </si>
  <si>
    <t>Indonesia, Denpasar</t>
  </si>
  <si>
    <t>Indonesia, Boyolali</t>
  </si>
  <si>
    <t>Denpasar - Boyolali</t>
  </si>
  <si>
    <t>Indonesia, Depok</t>
  </si>
  <si>
    <t>Indonesia, Bungurasih</t>
  </si>
  <si>
    <t>Depok - Bungurasih</t>
  </si>
  <si>
    <t>Thailand, Bangkok</t>
  </si>
  <si>
    <t>Depok - Bangkok</t>
  </si>
  <si>
    <t>Indonesia, Gili Air</t>
  </si>
  <si>
    <t>Gili Air DPrabu Fast Boat - Canggu Station</t>
  </si>
  <si>
    <t>Gili Air DPrabu Fast Boat - Central Park Kuta</t>
  </si>
  <si>
    <t>Gili Air DPrabu Fast Boat - McDonalds Jimbaran</t>
  </si>
  <si>
    <t>Gili Air DPrabu Fast Boat - Ubud Palace</t>
  </si>
  <si>
    <t>Gili Air Eka Jaya - Padang Bai Pier</t>
  </si>
  <si>
    <t>Gili Air DPrabu Fast Boat - McDonalds Sanur</t>
  </si>
  <si>
    <t>Gili Air - Candidasa Transfer</t>
  </si>
  <si>
    <t>Gili Air - Canggu Transfer</t>
  </si>
  <si>
    <t>Gili Air - Jimbaran Transfer</t>
  </si>
  <si>
    <t>Gili Air - Kuta Transfer</t>
  </si>
  <si>
    <t>Gili Air - Nusa Dua Transfer</t>
  </si>
  <si>
    <t>Gili Air - Padang Bai Pier</t>
  </si>
  <si>
    <t>Gili Air - Pecatu Transfer</t>
  </si>
  <si>
    <t>Gili Air - Sidemen Transfer</t>
  </si>
  <si>
    <t>Gili Air - Tirta Gangga Transfer</t>
  </si>
  <si>
    <t>Gili Air - Tulamben Transfer</t>
  </si>
  <si>
    <t>Gili Air - Uluwatu Transfer</t>
  </si>
  <si>
    <t>Gili Trawangan Pier - Canggu Station</t>
  </si>
  <si>
    <t>Gili Trawangan Pier - Central Park Kuta</t>
  </si>
  <si>
    <t>Gili Trawangan Pier - McDonalds Jimbaran</t>
  </si>
  <si>
    <t>Gili Trawangan Pier - Ubud Palace</t>
  </si>
  <si>
    <t>Gili Trawangan Port - Candidasa Transfer</t>
  </si>
  <si>
    <t>Gili Trawangan Port - Canggu Transfer</t>
  </si>
  <si>
    <t>Gili Trawangan Port - Jimbaran Transfer</t>
  </si>
  <si>
    <t>Gili Trawangan Port - Kuta Transfer</t>
  </si>
  <si>
    <t>Gili Trawangan Port - Nusa Dua Transfer</t>
  </si>
  <si>
    <t>Gili Trawangan Port - Padang Bai Pier</t>
  </si>
  <si>
    <t>Gili Trawangan Port - Pecatu Transfer</t>
  </si>
  <si>
    <t>Gili Trawangan Port - Sidemen Transfer</t>
  </si>
  <si>
    <t>Gili Trawangan Port - Tirta Gangga Transfer</t>
  </si>
  <si>
    <t>Gili Trawangan Port - Tulamben Transfer</t>
  </si>
  <si>
    <t>Gili Trawangan Port - Uluwatu Transfer</t>
  </si>
  <si>
    <t>Gili Air - Kintamani Transfer</t>
  </si>
  <si>
    <t>Gili Trawangan Port - Kintamani Transfer</t>
  </si>
  <si>
    <t>Gili Trawangan Pier - McDonalds Sanur</t>
  </si>
  <si>
    <t>Indonesia, Seminyak</t>
  </si>
  <si>
    <t>Gili Air - Seminyak Transfer</t>
  </si>
  <si>
    <t>Gili Trawangan Port - Seminyak Transfer</t>
  </si>
  <si>
    <t>Gili Air - Ubud Transfer</t>
  </si>
  <si>
    <t>Gili Trawangan Port - Ubud Transfer</t>
  </si>
  <si>
    <t>Indonesia, Gili Meno</t>
  </si>
  <si>
    <t>Gili Meno - Padang Bai Pier</t>
  </si>
  <si>
    <t>Gili Trawangan Beach - Padang Bai Pier</t>
  </si>
  <si>
    <t>Gili Trawangan Starfish - Nusa Penida</t>
  </si>
  <si>
    <t>ferry</t>
  </si>
  <si>
    <t>Mc Donald Restaurant - Gili Air</t>
  </si>
  <si>
    <t>Mc Donald Restaurant - Gili Meno</t>
  </si>
  <si>
    <t>Mc Donald Restaurant - Gili Trawangan Beach</t>
  </si>
  <si>
    <t>Mc Donald Restaurant - Bangsal Indah</t>
  </si>
  <si>
    <t>Indonesia, Karanganyar</t>
  </si>
  <si>
    <t>Karanganyar - Bali</t>
  </si>
  <si>
    <t>Kintamani Transfer - Canggu Transfer</t>
  </si>
  <si>
    <t>Kintamani Transfer - Munduk Transfer</t>
  </si>
  <si>
    <t>Kintamani Transfer - Nusa Dua Transfer</t>
  </si>
  <si>
    <t>Tejakula - Padang Bai Transfer</t>
  </si>
  <si>
    <t>Kintamani Transfer - Gili Air</t>
  </si>
  <si>
    <t>Kintamani Transfer - Gili Trawangan Port</t>
  </si>
  <si>
    <t>Kintamani Transfer - Bangsal Pier</t>
  </si>
  <si>
    <t>Kintamani Transfer - Sanur Transfer</t>
  </si>
  <si>
    <t>Indonesia, Kuta</t>
  </si>
  <si>
    <t>Front of Hard Rock Cafe - Gili Air</t>
  </si>
  <si>
    <t>Front of Hard Rock Cafe - Gili Meno</t>
  </si>
  <si>
    <t>Front of Hard Rock Cafe - Gili Trawangan Beach</t>
  </si>
  <si>
    <t>Front of Hard Rock Cafe - Bangsal Indah</t>
  </si>
  <si>
    <t>Indonesia, Legian</t>
  </si>
  <si>
    <t>Ground Zero - Gili Air</t>
  </si>
  <si>
    <t>Ground Zero - Gili Meno</t>
  </si>
  <si>
    <t>Ground Zero - Gili Trawangan Beach</t>
  </si>
  <si>
    <t>Ground Zero - Bangsal Indah</t>
  </si>
  <si>
    <t>Bangsal DPrabu Fast Boat - Canggu Station</t>
  </si>
  <si>
    <t>Bangsal DPrabu Fast Boat - Central Park Kuta</t>
  </si>
  <si>
    <t>Bangsal DPrabu Fast Boat - McDonalds Jimbaran</t>
  </si>
  <si>
    <t>Bangsal DPrabu Fast Boat - Ubud Palace</t>
  </si>
  <si>
    <t>Bangsal Eka Jaya - Padang Bai Pier</t>
  </si>
  <si>
    <t>Bangsal Pier - Candidasa Transfer</t>
  </si>
  <si>
    <t>Bangsal Pier - Canggu Transfer</t>
  </si>
  <si>
    <t>Bangsal Pier - Jimbaran Transfer</t>
  </si>
  <si>
    <t>Bangsal Pier - Kuta Transfer</t>
  </si>
  <si>
    <t>Bangsal Pier - Nusa Dua Transfer</t>
  </si>
  <si>
    <t>Bangsal Pier - Padang Bai Pier</t>
  </si>
  <si>
    <t>Bangsal Pier - Pecatu Transfer</t>
  </si>
  <si>
    <t>Bangsal Pier - Sidemen Transfer</t>
  </si>
  <si>
    <t>Bangsal Pier - Tirta Gangga Transfer</t>
  </si>
  <si>
    <t>Bangsal Pier - Tulamben Transfer</t>
  </si>
  <si>
    <t>Bangsal Pier - Uluwatu Transfer</t>
  </si>
  <si>
    <t>Senggigi Pier - Padang Bai Pier</t>
  </si>
  <si>
    <t>Bangsal Pier - Kintamani Transfer</t>
  </si>
  <si>
    <t>Bangsal Pier - Ekas</t>
  </si>
  <si>
    <t>charter | Standard 4pax</t>
  </si>
  <si>
    <t>Bangsal Pier - Gangga</t>
  </si>
  <si>
    <t>Bangsal Pier - Gerung</t>
  </si>
  <si>
    <t>Bangsal Pier - Gerupuk</t>
  </si>
  <si>
    <t>Bangsal Pier - Kuta Lombok</t>
  </si>
  <si>
    <t>Bangsal Pier - Labuhan</t>
  </si>
  <si>
    <t>Bangsal Pier - Lembar Port</t>
  </si>
  <si>
    <t>Bangsal Pier - Lombok Airport</t>
  </si>
  <si>
    <t>Bangsal Pier - Mandalika</t>
  </si>
  <si>
    <t>Bangsal Pier - Mataram</t>
  </si>
  <si>
    <t>Bangsal Pier - Sekotong</t>
  </si>
  <si>
    <t>Bangsal Pier - Selong Belanak</t>
  </si>
  <si>
    <t>Bangsal Pier - Sembalun</t>
  </si>
  <si>
    <t>Bangsal Pier - Senaru</t>
  </si>
  <si>
    <t>Bangsal Pier - Senggigi Pier</t>
  </si>
  <si>
    <t>Bangsal Pier - Sira</t>
  </si>
  <si>
    <t>Bangsal Pier - Tandjung</t>
  </si>
  <si>
    <t>Bangsal Pier - Tanjung Luar</t>
  </si>
  <si>
    <t>Bangsal Pier - Tete Batu</t>
  </si>
  <si>
    <t>Bangsal Pier - Tunak</t>
  </si>
  <si>
    <t>Bangsal DPrabu Fast Boat - McDonalds Sanur</t>
  </si>
  <si>
    <t>Bangsal Pier - Seminyak Transfer</t>
  </si>
  <si>
    <t>Bangsal Pier - Ubud Transfer</t>
  </si>
  <si>
    <t>Indonesia, Makassar</t>
  </si>
  <si>
    <t>Indonesia, Manokwari</t>
  </si>
  <si>
    <t>Makassar - Manokwari</t>
  </si>
  <si>
    <t>Nusa Lembongan - Bima</t>
  </si>
  <si>
    <t>Nusa Lembongan - Raba</t>
  </si>
  <si>
    <t>Banjar Nyuh Pier - Adegan Transfer</t>
  </si>
  <si>
    <t>Banjar Nyuh Pier - Batumulapan Beach</t>
  </si>
  <si>
    <t>Banjar Nyuh Pier - Broken Beach</t>
  </si>
  <si>
    <t>Banjar Nyuh Pier - Crystal Bay</t>
  </si>
  <si>
    <t>Banjar Nyuh Pier - Diamond Beach</t>
  </si>
  <si>
    <t>Banjar Nyuh Pier - Kelingking Beach</t>
  </si>
  <si>
    <t>Banjar Nyuh Pier - Klumpu Transfer</t>
  </si>
  <si>
    <t>Banjar Nyuh Pier - Ped</t>
  </si>
  <si>
    <t>Banjar Nyuh Pier - Sakti</t>
  </si>
  <si>
    <t>Banjar Nyuh Pier - Sampalan Beach</t>
  </si>
  <si>
    <t>Banjar Nyuh Pier - Sebunibus</t>
  </si>
  <si>
    <t>Banjar Nyuh Pier - Suana Transfer</t>
  </si>
  <si>
    <t>Banjar Nyuh Pier - Tanglad</t>
  </si>
  <si>
    <t>Banjar Nyuh Pier - Tembeling Beach</t>
  </si>
  <si>
    <t>Banjar Nyuh Pier - Toya Pakeh</t>
  </si>
  <si>
    <t>Padang Bai Wijaya Perkasa - Gili Air</t>
  </si>
  <si>
    <t>ferry | Fast Boat</t>
  </si>
  <si>
    <t>Padang Bai Wijaya Perkasa - Gili Meno</t>
  </si>
  <si>
    <t>Padang Bai Wijaya Perkasa - Gili Trawangan Wijaya Buyuk</t>
  </si>
  <si>
    <t>Padang Bai Wijaya Perkasa - Bangsal Indah</t>
  </si>
  <si>
    <t>Indonesia, Palangkaraya</t>
  </si>
  <si>
    <t>Palangkaraya - Depok</t>
  </si>
  <si>
    <t>Indonesia, Pasar Baru</t>
  </si>
  <si>
    <t>Indonesia, Palembang</t>
  </si>
  <si>
    <t>Pasar Baru - Palembang</t>
  </si>
  <si>
    <t>Sanur Transfer - Amed Transfer</t>
  </si>
  <si>
    <t>McDonalds Sanur - Gili Air</t>
  </si>
  <si>
    <t>McDonalds Sanur - Gili Meno</t>
  </si>
  <si>
    <t>Sanur Transfer - Gili Air</t>
  </si>
  <si>
    <t>Sanur Transfer - Gili Trawangan Port</t>
  </si>
  <si>
    <t>McDonalds Sanur - Gili Trawangan Beach</t>
  </si>
  <si>
    <t>Sanur Transfer - Kintamani Transfer</t>
  </si>
  <si>
    <t>McDonalds Sanur - Bangsal Indah</t>
  </si>
  <si>
    <t>Sanur Transfer - Bangsal Pier</t>
  </si>
  <si>
    <t>Sanur Transfer - Banjar Nyuh Harbour</t>
  </si>
  <si>
    <t>Bintang Supermarket - Gili Air</t>
  </si>
  <si>
    <t>Bintang Supermarket - Gili Meno</t>
  </si>
  <si>
    <t>Seminyak Transfer - Gili Air</t>
  </si>
  <si>
    <t>Seminyak Transfer - Gili Trawangan Port</t>
  </si>
  <si>
    <t>Bintang Supermarket - Gili Trawangan Beach</t>
  </si>
  <si>
    <t>Bintang Supermarket - Bangsal Indah</t>
  </si>
  <si>
    <t>Seminyak Transfer - Bangsal Pier</t>
  </si>
  <si>
    <t>Seminyak Transfer - Banjar Nyuh Harbour</t>
  </si>
  <si>
    <t>Indonesia, Surakarta</t>
  </si>
  <si>
    <t>Surakarta - Canggu</t>
  </si>
  <si>
    <t>Surakarta - Jimbaran</t>
  </si>
  <si>
    <t>Surakarta - Kintamani</t>
  </si>
  <si>
    <t>Surakarta - Nusa Ceningan</t>
  </si>
  <si>
    <t>Surakarta - Ubud</t>
  </si>
  <si>
    <t>Indonesia, Tangerang Selatan</t>
  </si>
  <si>
    <t>Tangerang Selatan - Bungurasih</t>
  </si>
  <si>
    <t>Indonesia, Tanjung Priok</t>
  </si>
  <si>
    <t>Indonesia, Ambon</t>
  </si>
  <si>
    <t>Tanjung Priok - Ambon</t>
  </si>
  <si>
    <t>Central Ubud Transfer - Gili Air</t>
  </si>
  <si>
    <t>Central Ubud Transfer - Gili Trawangan Port</t>
  </si>
  <si>
    <t>Coco Supermarket Ubud - Gili Air</t>
  </si>
  <si>
    <t>Coco Supermarket Ubud - Gili Meno</t>
  </si>
  <si>
    <t>Ubud Transfer - Gili Air</t>
  </si>
  <si>
    <t>Ubud Transfer - Gili Trawangan Port</t>
  </si>
  <si>
    <t>Coco Supermarket Ubud - Gili Trawangan Beach</t>
  </si>
  <si>
    <t>Central Ubud Transfer - Bangsal Pier</t>
  </si>
  <si>
    <t>Coco Supermarket Ubud - Bangsal Indah</t>
  </si>
  <si>
    <t>Ubud Transfer - Bangsal Pier</t>
  </si>
  <si>
    <t>Central Ubud Transfer - Banjar Nyuh Harbour</t>
  </si>
  <si>
    <t>Japan, Fukui</t>
  </si>
  <si>
    <t>Japan, Kanazawa</t>
  </si>
  <si>
    <t>Fukui - Kanazawa</t>
  </si>
  <si>
    <t>train | Standard Class</t>
  </si>
  <si>
    <t>Japan, Nagano</t>
  </si>
  <si>
    <t>Fukui - Nagano station</t>
  </si>
  <si>
    <t>train | Green Car</t>
  </si>
  <si>
    <t>Japan, Saitama</t>
  </si>
  <si>
    <t>Fukui - Omiya Station</t>
  </si>
  <si>
    <t>Japan, Tokyo</t>
  </si>
  <si>
    <t>Fukui - Tokyo</t>
  </si>
  <si>
    <t>Japan, Toyama</t>
  </si>
  <si>
    <t>Fukui - Toyama</t>
  </si>
  <si>
    <t>Japan, Tsuruga</t>
  </si>
  <si>
    <t>Fukui - Tsuruga</t>
  </si>
  <si>
    <t>Kanazawa - Fukui</t>
  </si>
  <si>
    <t>Kanazawa - Nagano station</t>
  </si>
  <si>
    <t>Kanazawa - Omiya Station</t>
  </si>
  <si>
    <t>Kanazawa - Tokyo</t>
  </si>
  <si>
    <t>Kanazawa - Toyama</t>
  </si>
  <si>
    <t>Kanazawa - Tsuruga</t>
  </si>
  <si>
    <t>Nagano station - Fukui</t>
  </si>
  <si>
    <t>Nagano station - Kanazawa</t>
  </si>
  <si>
    <t>Nagano station - Omiya Station</t>
  </si>
  <si>
    <t>Nagano station - Tokyo</t>
  </si>
  <si>
    <t>Nagano station - Toyama</t>
  </si>
  <si>
    <t>Nagano station - Tsuruga</t>
  </si>
  <si>
    <t>Omiya Station - Fukui</t>
  </si>
  <si>
    <t>Omiya Station - Kanazawa</t>
  </si>
  <si>
    <t>Omiya Station - Nagano station</t>
  </si>
  <si>
    <t>Omiya Station - Toyama</t>
  </si>
  <si>
    <t>Omiya Station - Tsuruga</t>
  </si>
  <si>
    <t>Tokyo - Fukui</t>
  </si>
  <si>
    <t>Tokyo - Kanazawa</t>
  </si>
  <si>
    <t>Tokyo - Nagano station</t>
  </si>
  <si>
    <t>Tokyo - Omiya Station</t>
  </si>
  <si>
    <t>Tokyo - Toyama</t>
  </si>
  <si>
    <t>Tokyo - Tsuruga</t>
  </si>
  <si>
    <t>Toyama - Fukui</t>
  </si>
  <si>
    <t>Toyama - Kanazawa</t>
  </si>
  <si>
    <t>Toyama - Nagano station</t>
  </si>
  <si>
    <t>Toyama - Omiya Station</t>
  </si>
  <si>
    <t>Toyama - Tokyo</t>
  </si>
  <si>
    <t>Toyama - Tsuruga</t>
  </si>
  <si>
    <t>Tsuruga - Fukui</t>
  </si>
  <si>
    <t>Tsuruga - Kanazawa</t>
  </si>
  <si>
    <t>Tsuruga - Nagano station</t>
  </si>
  <si>
    <t>Tsuruga - Omiya Station</t>
  </si>
  <si>
    <t>Tsuruga - Tokyo</t>
  </si>
  <si>
    <t>Tsuruga - Toyama</t>
  </si>
  <si>
    <t>Laos, Huay Xai</t>
  </si>
  <si>
    <t>Huay Xai - Luang Prabang</t>
  </si>
  <si>
    <t>van | Shuttle + Sleeping Bus</t>
  </si>
  <si>
    <t>van | Shuttle + Van</t>
  </si>
  <si>
    <t>Huay Xai - Pak Beng</t>
  </si>
  <si>
    <t>van | Shuttle + Boat</t>
  </si>
  <si>
    <t>van | Shuttle + Private Boat VIP</t>
  </si>
  <si>
    <t>Thailand, Chiang Khong</t>
  </si>
  <si>
    <t>Huay Xai Pier - Chiang Khong Border</t>
  </si>
  <si>
    <t>van | Songthaew</t>
  </si>
  <si>
    <t>Thailand, Chiang Mai</t>
  </si>
  <si>
    <t>Huay Xai - Chiang Mai</t>
  </si>
  <si>
    <t>van | Shuttle + Bus</t>
  </si>
  <si>
    <t>Thailand, Chiang Rai</t>
  </si>
  <si>
    <t>Huay Xai - Chiang Rai</t>
  </si>
  <si>
    <t>Laos, Luang Namtha</t>
  </si>
  <si>
    <t>Boten Railway Station - Luang Prabang Railway Station</t>
  </si>
  <si>
    <t>train | Hard Seat</t>
  </si>
  <si>
    <t>Laos, Vang Vieng</t>
  </si>
  <si>
    <t>Boten Railway Station - Vang Vieng Railway Station</t>
  </si>
  <si>
    <t>Boten Railway Station - Vientiane Railway Station</t>
  </si>
  <si>
    <t>Luang Prabang - Huay Xai</t>
  </si>
  <si>
    <t>Villa Ban Pakham Hotel - Huay Xai Airport</t>
  </si>
  <si>
    <t>Luang Prabang - Pak Beng</t>
  </si>
  <si>
    <t>Luang Prabang Airport - Luang Prabang Transfer</t>
  </si>
  <si>
    <t>Luang Prabang Railway Station - Luang Prabang Transfer</t>
  </si>
  <si>
    <t>Luang Prabang Transfer - Luang Prabang Airport</t>
  </si>
  <si>
    <t>Villa Ban Pakham Hotel - Kuang Si Falls</t>
  </si>
  <si>
    <t>Villa Ban Pakham Hotel - Luang Prabang International Airport</t>
  </si>
  <si>
    <t>Laos, Nong Khiaw</t>
  </si>
  <si>
    <t>Luang Prabang Transfer - Nong Khiaw Hotel Transfer</t>
  </si>
  <si>
    <t>Villa Ban Pakham Hotel - Nong Khiaw Bus Terminal</t>
  </si>
  <si>
    <t>Laos, Oudomxay</t>
  </si>
  <si>
    <t>Villa Ban Pakham Hotel - Oudomxay Bus Station</t>
  </si>
  <si>
    <t>Luang Prabang Transfer - Vang Vieng Transfer</t>
  </si>
  <si>
    <t>charter | Van 9pax</t>
  </si>
  <si>
    <t>Luang Prabang Transfer - Vientiane Transfer</t>
  </si>
  <si>
    <t>Villa Ban Pakham Hotel - Vientiane Garden Boutique Hotel</t>
  </si>
  <si>
    <t>Luang Prabang - Chiang Mai</t>
  </si>
  <si>
    <t>van | Shuttle + Sleeping Bus + Bus</t>
  </si>
  <si>
    <t>Luang Prabang - Chiang Rai</t>
  </si>
  <si>
    <t>Nong Khiaw Hotel Transfer - Luang Prabang Hotel Transfer</t>
  </si>
  <si>
    <t>van | Taxi + Van</t>
  </si>
  <si>
    <t>van | Taxi + Van + Taxi</t>
  </si>
  <si>
    <t>Nong Khiaw Hotel Transfer - Luang Prabang Transfer</t>
  </si>
  <si>
    <t>Nong Khiaw Hotel Transfer - Northern Bus Station</t>
  </si>
  <si>
    <t>VangVieng Backpackers Hostel - Villa Ban Pakham Hotel</t>
  </si>
  <si>
    <t>Vang Vieng Railway Station - Oudomxay Railway Station</t>
  </si>
  <si>
    <t>Laos, Thanaleng</t>
  </si>
  <si>
    <t>Vang Vieng Transfer - Thanaleng Border Laos side</t>
  </si>
  <si>
    <t>Vang Vieng Transfer - Vientiane Transfer</t>
  </si>
  <si>
    <t>VangVieng Backpackers Hostel - Vientiane Garden Boutique Hotel</t>
  </si>
  <si>
    <t>Vientiane Transfer - Luang Prabang Transfer</t>
  </si>
  <si>
    <t>Vientiane Transfer - Vang Vieng Transfer</t>
  </si>
  <si>
    <t>Khamsavath Railway station - Krung Thep Aphiwat Central Terminal Station</t>
  </si>
  <si>
    <t>train | 2nd Class AC seats</t>
  </si>
  <si>
    <t>train | 2nd Class Sleeper with AC</t>
  </si>
  <si>
    <t>train | 3rd Class Fan seats</t>
  </si>
  <si>
    <t>Vientiane Hotel Transfer - Bangkok Transfer</t>
  </si>
  <si>
    <t>Thailand, Khon Kaen</t>
  </si>
  <si>
    <t>Khamsavath Railway station - Khon Kaen</t>
  </si>
  <si>
    <t>Vientiane Hotel Transfer - Khon Kaen Hotel Transfer</t>
  </si>
  <si>
    <t>Thailand, Nakhon Ratchasima</t>
  </si>
  <si>
    <t>Vientiane Hotel Transfer - Nakhon Ratchasima Hotel Transfer</t>
  </si>
  <si>
    <t>Thailand, Nong Khai</t>
  </si>
  <si>
    <t>Khamsavath Railway station - Nong Khai</t>
  </si>
  <si>
    <t>Thailand, Udon Thani</t>
  </si>
  <si>
    <t>Khamsavath Railway station - Udon Thani</t>
  </si>
  <si>
    <t>Malaysia, Kelantan</t>
  </si>
  <si>
    <t>Malaysia, Terengganu</t>
  </si>
  <si>
    <t>Kota Bharu Airport - Kuala Besut Jetty</t>
  </si>
  <si>
    <t>charter | Van 12pax</t>
  </si>
  <si>
    <t>charter | Van 15pax</t>
  </si>
  <si>
    <t>Kota Bharu City Centre - Kuala Besut Jetty</t>
  </si>
  <si>
    <t>Malaysia, Kota Bharu</t>
  </si>
  <si>
    <t>Malaysia, Subang Airport</t>
  </si>
  <si>
    <t>Kota Bharu - Subang Airport</t>
  </si>
  <si>
    <t>Malaysia, Kuala Lumpur</t>
  </si>
  <si>
    <t>Kuala Lumpur - Gurgaon</t>
  </si>
  <si>
    <t>Malaysia, Cameron Highlands</t>
  </si>
  <si>
    <t>Kuala Lumpur City Hotel Transfer - Cameron Highlands Hotel Transfer</t>
  </si>
  <si>
    <t>Malaysia, Genting Highlands</t>
  </si>
  <si>
    <t>Kuala Lumpur Airport - Genting Highlands Hotel Transfer</t>
  </si>
  <si>
    <t>Kuala Lumpur City Hotel Transfer - Genting Highlands Hotel Transfer</t>
  </si>
  <si>
    <t>Malaysia, Ipoh</t>
  </si>
  <si>
    <t>Kuala Lumpur City Hotel Transfer - Ipoh Hotel Transfer</t>
  </si>
  <si>
    <t>Malaysia, Johor</t>
  </si>
  <si>
    <t>Kuala Lumpur City Hotel Transfer - Iskandar Puteri</t>
  </si>
  <si>
    <t>Kuala Lumpur City Hotel Transfer - Legoland</t>
  </si>
  <si>
    <t>Kuala Lumpur Hotel Transfer - Desaru Hotel Transfer</t>
  </si>
  <si>
    <t>Malaysia, Johor Bahru</t>
  </si>
  <si>
    <t>Kuala Lumpur Airport - Johor Bahru</t>
  </si>
  <si>
    <t>Kuala Lumpur City Hotel Transfer - Johor Bahru</t>
  </si>
  <si>
    <t>Kuala Lumpur Airport - Kuala Lumpur City Hotel Transfer</t>
  </si>
  <si>
    <t>Kuala Lumpur City Hotel Transfer - Kuala Lumpur City Bus Station</t>
  </si>
  <si>
    <t>Malaysia, Malacca</t>
  </si>
  <si>
    <t>Kuala Lumpur Airport - AFamosa Resort</t>
  </si>
  <si>
    <t>Kuala Lumpur Airport - Malacca Hotel Transfer</t>
  </si>
  <si>
    <t>Kuala Lumpur City Hotel Transfer - AFamosa Resort</t>
  </si>
  <si>
    <t>Kuala Lumpur City Hotel Transfer - Malacca Hotel Transfer</t>
  </si>
  <si>
    <t>Kuala Lumpur Hotel Transfer - Malacca Hotel Transfer</t>
  </si>
  <si>
    <t>Malaysia, Penang</t>
  </si>
  <si>
    <t>Kuala Lumpur City Hotel Transfer - Penang Hotel Transfer</t>
  </si>
  <si>
    <t>Malaysia, Port Dickson</t>
  </si>
  <si>
    <t>Kuala Lumpur Airport - Port Dickson</t>
  </si>
  <si>
    <t>Kuala Lumpur City Hotel Transfer - Port Dickson</t>
  </si>
  <si>
    <t>Malaysia, Selangor</t>
  </si>
  <si>
    <t>Kuala Lumpur Airport - Bandar Sunway Transfer</t>
  </si>
  <si>
    <t>Kuala Lumpur Airport - Petaling Jaya Transfer</t>
  </si>
  <si>
    <t>Kuala Lumpur City Hotel Transfer - Bandar Sunway Transfer</t>
  </si>
  <si>
    <t>Kuala Lumpur City Hotel Transfer - Petaling Jaya Transfer</t>
  </si>
  <si>
    <t>Malaysia, Skudai</t>
  </si>
  <si>
    <t>Berjaya Times Square - Skudai</t>
  </si>
  <si>
    <t>Malaysia, Taman Negara</t>
  </si>
  <si>
    <t>Kuala Lumpur City Hotel Transfer - Kuala Tahan Taman Negara</t>
  </si>
  <si>
    <t>Singapore, Singapore</t>
  </si>
  <si>
    <t>Kuala Lumpur Hotel Transfer - Singapore Hotel Transfer</t>
  </si>
  <si>
    <t>Swiss Garden Hotel - Harbourfront</t>
  </si>
  <si>
    <t>Swiss Garden Hotel - Jurong East Bus Mrt Interchange</t>
  </si>
  <si>
    <t>Swiss Garden Hotel - Kovan Hub 206</t>
  </si>
  <si>
    <t>Thailand, Hat Yai</t>
  </si>
  <si>
    <t>Kuala Lumpur Hotel Transfer - Hat Yai Hotel Transfer</t>
  </si>
  <si>
    <t>Malaysia, Kuala Lumpur Sentral</t>
  </si>
  <si>
    <t>Kuala Lumpur Sentral - Angamaly</t>
  </si>
  <si>
    <t>Kuala Lumpur Sentral - Bangalore</t>
  </si>
  <si>
    <t>Indonesia, Bekasi</t>
  </si>
  <si>
    <t>Kuala Lumpur Sentral - Bekasi</t>
  </si>
  <si>
    <t>Melaka Sentral - Harbourfront</t>
  </si>
  <si>
    <t>Melaka Sentral - Jurong East Bus Mrt Interchange</t>
  </si>
  <si>
    <t>Penang Hotel Transfer - Cameron Highlands Hotel Transfer</t>
  </si>
  <si>
    <t>Penang Hotel Transfer - Genting Highlands Hotel Transfer</t>
  </si>
  <si>
    <t>Penang Hotel Transfer - Ipoh Hotel Transfer</t>
  </si>
  <si>
    <t>Malaysia, Kedah</t>
  </si>
  <si>
    <t>Penang Hotel Transfer - Jetty Kuala Kedah</t>
  </si>
  <si>
    <t>Penang Hotel Transfer - Kuala Lumpur Airport</t>
  </si>
  <si>
    <t>Penang Hotel Transfer - Kuala Lumpur City Hotel Transfer</t>
  </si>
  <si>
    <t>Penang International Airport - George Town</t>
  </si>
  <si>
    <t>Penang International Airport - Penang beach</t>
  </si>
  <si>
    <t>22 Jalan Ria George Town - Hat Yai Van Terminal</t>
  </si>
  <si>
    <t>van | Regional 14pax</t>
  </si>
  <si>
    <t>Thailand, Krabi</t>
  </si>
  <si>
    <t>22 Jalan Ria George Town - Krabi Bus Terminal</t>
  </si>
  <si>
    <t>Thailand, Pak Bara</t>
  </si>
  <si>
    <t>22 Jalan Ria George Town - Pak Bara</t>
  </si>
  <si>
    <t>Thailand, Phuket</t>
  </si>
  <si>
    <t>22 Jalan Ria George Town - Phuket Bus Terminal 2</t>
  </si>
  <si>
    <t>Thailand, Songkhla</t>
  </si>
  <si>
    <t>22 Jalan Ria George Town - Dannok McDonalds</t>
  </si>
  <si>
    <t>Thailand, Trang</t>
  </si>
  <si>
    <t>22 Jalan Ria George Town - Trang Van Station</t>
  </si>
  <si>
    <t>Malaysia, Perhentian</t>
  </si>
  <si>
    <t>Pulau Perhentian Island - Kuala Besut Jetty</t>
  </si>
  <si>
    <t>Subang Airport - Kota Bharu</t>
  </si>
  <si>
    <t>Malaysia, Penang Airport</t>
  </si>
  <si>
    <t>Subang Airport - Penang Airport</t>
  </si>
  <si>
    <t>Malaysia, Sungai Nibong</t>
  </si>
  <si>
    <t>Subang Airport - Sungai Nibong</t>
  </si>
  <si>
    <t>Kuala Besut Jetty - Kota Bharu Airport</t>
  </si>
  <si>
    <t>Kuala Besut Jetty - Kota Bharu City Centre</t>
  </si>
  <si>
    <t>Kuala Besut Jetty - Pulau Perhentian Island</t>
  </si>
  <si>
    <t>Kuala Besut Jetty - Kuala Terengganu Airport</t>
  </si>
  <si>
    <t>Kuala Besut Jetty - Kuala Terengganu City Centre</t>
  </si>
  <si>
    <t>charter | Van 8pax</t>
  </si>
  <si>
    <t>Kuala Besut Jetty - Perhentian Island</t>
  </si>
  <si>
    <t>charter | Chartered Boat 12pax</t>
  </si>
  <si>
    <t>charter | Chartered Boat 26pax</t>
  </si>
  <si>
    <t>Kuala Terengganu Airport - Kuala Besut Jetty</t>
  </si>
  <si>
    <t>Kuala Terengganu City Centre - Kuala Besut Jetty</t>
  </si>
  <si>
    <t>Perhentian Island - Kuala Besut Jetty</t>
  </si>
  <si>
    <t>Mexico, Hermosillo</t>
  </si>
  <si>
    <t>Mexico, Tepic</t>
  </si>
  <si>
    <t>Hermosillo Bus Station - Tepic Tufesa</t>
  </si>
  <si>
    <t>Hermosillo - Tepic</t>
  </si>
  <si>
    <t>Mexico, Heroica Nogales</t>
  </si>
  <si>
    <t>USA, San Fernando Valley</t>
  </si>
  <si>
    <t>Heroica Nogales - San Fernando Valley</t>
  </si>
  <si>
    <t>Philippines, Caloocan</t>
  </si>
  <si>
    <t>Philippines, Benguet</t>
  </si>
  <si>
    <t>Caloocan - Benguet</t>
  </si>
  <si>
    <t>Philippines, Capiz</t>
  </si>
  <si>
    <t>Philippines, Boracay</t>
  </si>
  <si>
    <t>Capiz - Boracay</t>
  </si>
  <si>
    <t>Philippines, Coron</t>
  </si>
  <si>
    <t>Philippines, Manila</t>
  </si>
  <si>
    <t>Coron Port - Baseco Port</t>
  </si>
  <si>
    <t>ferry | Economy</t>
  </si>
  <si>
    <t>ferry | Premium</t>
  </si>
  <si>
    <t>ferry | Shared Cabin for 4</t>
  </si>
  <si>
    <t>ferry | Tourist Class</t>
  </si>
  <si>
    <t>Philippines, Dapitan</t>
  </si>
  <si>
    <t>Philippines, Basilan</t>
  </si>
  <si>
    <t>Dapitan - Basilan</t>
  </si>
  <si>
    <t>Philippines, Dumaguete</t>
  </si>
  <si>
    <t>Philippines, Siquijor</t>
  </si>
  <si>
    <t>Dumaguete Port - Siquijor Port</t>
  </si>
  <si>
    <t>ferry | Standard Seat</t>
  </si>
  <si>
    <t>Philippines, El Nido</t>
  </si>
  <si>
    <t>El Nido Ferry Terminal - Baseco Port</t>
  </si>
  <si>
    <t>Baseco Port - Coron Port</t>
  </si>
  <si>
    <t>Baseco Port - El Nido Ferry Terminal</t>
  </si>
  <si>
    <t>Philippines, Nueva Vizcaya</t>
  </si>
  <si>
    <t>Philippines, Baclaran</t>
  </si>
  <si>
    <t>Nueva Vizcaya - Baclaran</t>
  </si>
  <si>
    <t>Philippines, Panglao</t>
  </si>
  <si>
    <t>Philippines, Misamis Occidental</t>
  </si>
  <si>
    <t>Panglao - Misamis Occidental</t>
  </si>
  <si>
    <t>Philippines, Oroquieta</t>
  </si>
  <si>
    <t>Panglao - Oroquieta</t>
  </si>
  <si>
    <t>Siquijor Port - Dumaguete Port</t>
  </si>
  <si>
    <t>Philippines, Solano</t>
  </si>
  <si>
    <t>Solano - Baclaran</t>
  </si>
  <si>
    <t>Philippines, Tabuk Kalinga</t>
  </si>
  <si>
    <t>Philippines, Makati</t>
  </si>
  <si>
    <t>Tabuk Kalinga - Makati</t>
  </si>
  <si>
    <t>Romania, Giurgiu</t>
  </si>
  <si>
    <t>United Arab Emirates, Dubai Airport</t>
  </si>
  <si>
    <t>Giurgiu - Dubai Airport</t>
  </si>
  <si>
    <t>Singapore Hotel Transfer - Kuala Lumpur Hotel Transfer</t>
  </si>
  <si>
    <t>Jurong East Bus Mrt Interchange - Swiss Garden Hotel</t>
  </si>
  <si>
    <t>Kovan Hub 206 - Swiss Garden Hotel</t>
  </si>
  <si>
    <t>Harbourfront - Melaka Sentral</t>
  </si>
  <si>
    <t>Jurong East Bus Mrt Interchange - Melaka Sentral</t>
  </si>
  <si>
    <t>South Africa, Addo Elephant National Park</t>
  </si>
  <si>
    <t>South Africa, Gqeberha</t>
  </si>
  <si>
    <t>Addo Elephant National Park Transfer - Chief Dawid Stuurman Intl Airport</t>
  </si>
  <si>
    <t>South Africa, Alberton</t>
  </si>
  <si>
    <t>South Africa, Johannesburg</t>
  </si>
  <si>
    <t>Alberton Transfer - OR Tambo International Airport</t>
  </si>
  <si>
    <t>South Africa, Amakhala Game Reserve</t>
  </si>
  <si>
    <t>Amakhala Game Reserve Transfer - Chief Dawid Stuurman Intl Airport</t>
  </si>
  <si>
    <t>South Africa, Amersfoort ZA</t>
  </si>
  <si>
    <t>Amersfoort Transfer - OR Tambo International Airport</t>
  </si>
  <si>
    <t>South Africa, Balfour</t>
  </si>
  <si>
    <t>Balfour Transfer - OR Tambo International Airport</t>
  </si>
  <si>
    <t>South Africa, Ballito</t>
  </si>
  <si>
    <t>South Africa, Durban</t>
  </si>
  <si>
    <t>Ballito Transfer - Durban International Airport</t>
  </si>
  <si>
    <t>Dolphin Coast Transfer - Durban International Airport</t>
  </si>
  <si>
    <t>Zimbali Estate Transfer - Durban International Airport</t>
  </si>
  <si>
    <t>South Africa, Barberton</t>
  </si>
  <si>
    <t>Barberton Transfer - OR Tambo International Airport</t>
  </si>
  <si>
    <t>South Africa, Bela Bela</t>
  </si>
  <si>
    <t>Bela-Bela Transfer - OR Tambo International Airport</t>
  </si>
  <si>
    <t>Mabula Game Lodge Transfer - OR Tambo International Airport</t>
  </si>
  <si>
    <t>Sondela Lodge &amp; Spa Transfer - OR Tambo International Airport</t>
  </si>
  <si>
    <t>Zebula Golf &amp; Spa Transfer - OR Tambo International Airport</t>
  </si>
  <si>
    <t>South Africa, Bellville</t>
  </si>
  <si>
    <t>South Africa, Cape Town</t>
  </si>
  <si>
    <t>Belville Transfer - Cape Town International Airport</t>
  </si>
  <si>
    <t>Boston Transfer - Cape Town International Airport</t>
  </si>
  <si>
    <t>South Africa, Benoni</t>
  </si>
  <si>
    <t>Benoni Transfer - OR Tambo International Airport</t>
  </si>
  <si>
    <t>South Africa, Bethal</t>
  </si>
  <si>
    <t>Bethal Transfer - OR Tambo International Airport</t>
  </si>
  <si>
    <t>South Africa, Boksburg</t>
  </si>
  <si>
    <t>Boksburg Transfer - OR Tambo International Airport</t>
  </si>
  <si>
    <t>South Africa, Breyten</t>
  </si>
  <si>
    <t>Breyten Transfer - OR Tambo International Airport</t>
  </si>
  <si>
    <t>South Africa, Bushbuckridge</t>
  </si>
  <si>
    <t>Bushbuckridge Transfer - OR Tambo International Airport</t>
  </si>
  <si>
    <t>Cape Town International Airport - Belville Transfer</t>
  </si>
  <si>
    <t>Cape Town International Airport - Boston Transfer</t>
  </si>
  <si>
    <t>Acasia Park Transfer - Cape Town International Airport</t>
  </si>
  <si>
    <t>Athlone Transfer - Cape Town International Airport</t>
  </si>
  <si>
    <t>Bakoven Transfer - Cape Town International Airport</t>
  </si>
  <si>
    <t>Bantry Bay Transfer - Cape Town International Airport</t>
  </si>
  <si>
    <t>Bergvliet Transfer - Cape Town International Airport</t>
  </si>
  <si>
    <t>Bishops Court Transfer - Cape Town International Airport</t>
  </si>
  <si>
    <t>Blouberg Strand Transfer - Cape Town International Airport</t>
  </si>
  <si>
    <t>Brackenfell Transfer - Cape Town International Airport</t>
  </si>
  <si>
    <t>Camps Bay Transfer - Cape Town International Airport</t>
  </si>
  <si>
    <t>Cape Point - Cape Town International Airport</t>
  </si>
  <si>
    <t>Cape Town International Airport - Acasia Park Transfer</t>
  </si>
  <si>
    <t>Cape Town International Airport - Athlone Transfer</t>
  </si>
  <si>
    <t>Cape Town International Airport - Bakoven Transfer</t>
  </si>
  <si>
    <t>Cape Town International Airport - Bantry Bay Transfer</t>
  </si>
  <si>
    <t>Cape Town International Airport - Bergvliet Transfer</t>
  </si>
  <si>
    <t>Cape Town International Airport - Bishops Court Transfer</t>
  </si>
  <si>
    <t>Cape Town International Airport - Blouberg Strand Transfer</t>
  </si>
  <si>
    <t>Cape Town International Airport - Brackenfell Transfer</t>
  </si>
  <si>
    <t>Cape Town International Airport - Camps Bay Transfer</t>
  </si>
  <si>
    <t>Cape Town International Airport - Cape Point</t>
  </si>
  <si>
    <t>Cape Town International Airport - Cape Town Port</t>
  </si>
  <si>
    <t>Cape Town International Airport - Cape Town Railway Station Transfer</t>
  </si>
  <si>
    <t>Cape Town International Airport - Cape Town Transfer</t>
  </si>
  <si>
    <t>Cape Town International Airport - Century City Transfer</t>
  </si>
  <si>
    <t>Cape Town International Airport - Chapmans Peak Transfer</t>
  </si>
  <si>
    <t>Cape Town International Airport - Claremont Transfer</t>
  </si>
  <si>
    <t>Cape Town International Airport - Clifton Transfer</t>
  </si>
  <si>
    <t>Cape Town International Airport - Constantia Transfer</t>
  </si>
  <si>
    <t>Cape Town International Airport - Diep River Transfer</t>
  </si>
  <si>
    <t>Cape Town International Airport - Durbanville Transfer</t>
  </si>
  <si>
    <t>Cape Town International Airport - Edgemead Transfer</t>
  </si>
  <si>
    <t>Cape Town International Airport - Epping Transfer</t>
  </si>
  <si>
    <t>Cape Town International Airport - Fairways Transfer</t>
  </si>
  <si>
    <t>Cape Town International Airport - Fresnaye Transfer</t>
  </si>
  <si>
    <t>Cape Town International Airport - Gardens Transfer</t>
  </si>
  <si>
    <t>Cape Town International Airport - Gordons Bay Transfer</t>
  </si>
  <si>
    <t>Cape Town International Airport - Grassy Park Transfer</t>
  </si>
  <si>
    <t>Cape Town International Airport - Greenpoint Transfer</t>
  </si>
  <si>
    <t>Cape Town International Airport - Hout Bay Transfer</t>
  </si>
  <si>
    <t>Cape Town International Airport - Kommetjie Transfer</t>
  </si>
  <si>
    <t>Cape Town International Airport - Llandudno Transfer</t>
  </si>
  <si>
    <t>Cape Town International Airport - Matroosfontein Transfer</t>
  </si>
  <si>
    <t>Cape Town International Airport - Mowbray Transfer</t>
  </si>
  <si>
    <t>Cape Town International Airport - Muizenberg Transfer</t>
  </si>
  <si>
    <t>Cape Town International Airport - Newlands Transfer</t>
  </si>
  <si>
    <t>Cape Town International Airport - Parklands Transfer</t>
  </si>
  <si>
    <t>Cape Town International Airport - Pinelands Transfer</t>
  </si>
  <si>
    <t>Cape Town International Airport - Plattekloof Transfer</t>
  </si>
  <si>
    <t>Cape Town International Airport - Plumstead Transfer</t>
  </si>
  <si>
    <t>Cape Town International Airport - Rondebosch Transfer</t>
  </si>
  <si>
    <t>Cape Town International Airport - Scarborough Transfer</t>
  </si>
  <si>
    <t>Cape Town International Airport - Sea Point Transfer</t>
  </si>
  <si>
    <t>Cape Town International Airport - Simons Town Transfer</t>
  </si>
  <si>
    <t>Cape Town International Airport - St James Transfer</t>
  </si>
  <si>
    <t>Cape Town International Airport - Stellenberg Transfer</t>
  </si>
  <si>
    <t>Cape Town International Airport - Strand Area Transfer</t>
  </si>
  <si>
    <t>Cape Town International Airport - Sunset Beach Transfer</t>
  </si>
  <si>
    <t>Cape Town International Airport - Table Mountain Transfer</t>
  </si>
  <si>
    <t>Cape Town International Airport - Table View Transfer</t>
  </si>
  <si>
    <t>Cape Town International Airport - Tamboerskloof Transfer</t>
  </si>
  <si>
    <t>Cape Town International Airport - Tokai Transfer</t>
  </si>
  <si>
    <t>Cape Town International Airport - V and A Waterfront Transfer</t>
  </si>
  <si>
    <t>Cape Town International Airport - Wynberg Transfer</t>
  </si>
  <si>
    <t>Cape Town Port - Cape Town International Airport</t>
  </si>
  <si>
    <t>Cape Town Railway Station Transfer - Cape Town International Airport</t>
  </si>
  <si>
    <t>Cape Town Transfer - Cape Town International Airport</t>
  </si>
  <si>
    <t>Century City Transfer - Cape Town International Airport</t>
  </si>
  <si>
    <t>Chapmans Peak Transfer - Cape Town International Airport</t>
  </si>
  <si>
    <t>Claremont Transfer - Cape Town International Airport</t>
  </si>
  <si>
    <t>Clifton Transfer - Cape Town International Airport</t>
  </si>
  <si>
    <t>Constantia Transfer - Cape Town International Airport</t>
  </si>
  <si>
    <t>Diep River Transfer - Cape Town International Airport</t>
  </si>
  <si>
    <t>Durbanville Transfer - Cape Town International Airport</t>
  </si>
  <si>
    <t>Edgemead Transfer - Cape Town International Airport</t>
  </si>
  <si>
    <t>Epping Transfer - Cape Town International Airport</t>
  </si>
  <si>
    <t>Fairways Transfer - Cape Town International Airport</t>
  </si>
  <si>
    <t>Fresnaye Transfer - Cape Town International Airport</t>
  </si>
  <si>
    <t>Gardens Transfer - Cape Town International Airport</t>
  </si>
  <si>
    <t>Gordons Bay Transfer - Cape Town International Airport</t>
  </si>
  <si>
    <t>Grassy Park Transfer - Cape Town International Airport</t>
  </si>
  <si>
    <t>Greenpoint Transfer - Cape Town International Airport</t>
  </si>
  <si>
    <t>Hout Bay Transfer - Cape Town International Airport</t>
  </si>
  <si>
    <t>Kommetjie Transfer - Cape Town International Airport</t>
  </si>
  <si>
    <t>Llandudno Transfer - Cape Town International Airport</t>
  </si>
  <si>
    <t>Matroosfontein Transfer - Cape Town International Airport</t>
  </si>
  <si>
    <t>Mowbray Transfer - Cape Town International Airport</t>
  </si>
  <si>
    <t>Muizenberg Transfer - Cape Town International Airport</t>
  </si>
  <si>
    <t>Newlands Transfer - Cape Town International Airport</t>
  </si>
  <si>
    <t>Parklands Transfer - Cape Town International Airport</t>
  </si>
  <si>
    <t>Pinelands Transfer - Cape Town International Airport</t>
  </si>
  <si>
    <t>Plattekloof Transfer - Cape Town International Airport</t>
  </si>
  <si>
    <t>Plumstead Transfer - Cape Town International Airport</t>
  </si>
  <si>
    <t>Rondebosch Transfer - Cape Town International Airport</t>
  </si>
  <si>
    <t>Scarborough Transfer - Cape Town International Airport</t>
  </si>
  <si>
    <t>Sea Point Transfer - Cape Town International Airport</t>
  </si>
  <si>
    <t>Simons Town Transfer - Cape Town International Airport</t>
  </si>
  <si>
    <t>St James Transfer - Cape Town International Airport</t>
  </si>
  <si>
    <t>Stellenberg Transfer - Cape Town International Airport</t>
  </si>
  <si>
    <t>Strand Area Transfer - Cape Town International Airport</t>
  </si>
  <si>
    <t>Sunset Beach Transfer - Cape Town International Airport</t>
  </si>
  <si>
    <t>Table Mountain Transfer - Cape Town International Airport</t>
  </si>
  <si>
    <t>Table View Transfer - Cape Town International Airport</t>
  </si>
  <si>
    <t>Tamboerskloof Transfer - Cape Town International Airport</t>
  </si>
  <si>
    <t>Tokai Transfer - Cape Town International Airport</t>
  </si>
  <si>
    <t>V and A Waterfront Transfer - Cape Town International Airport</t>
  </si>
  <si>
    <t>Wynberg Transfer - Cape Town International Airport</t>
  </si>
  <si>
    <t>Two Oceans Mall Transfer - Durban International Airport</t>
  </si>
  <si>
    <t>South Africa, Fish Hoek</t>
  </si>
  <si>
    <t>Cape Town International Airport - Fish Hoek Transfer</t>
  </si>
  <si>
    <t>South Africa, Franschhoek</t>
  </si>
  <si>
    <t>Cape Town International Airport - Franschoek Transfer</t>
  </si>
  <si>
    <t>South Africa, Gansbaai</t>
  </si>
  <si>
    <t>Cape Town International Airport - Gansbaai Transfer</t>
  </si>
  <si>
    <t>Penguin Route Transfer - Chief Dawid Stuurman Intl Airport</t>
  </si>
  <si>
    <t>South Africa, Grabouw</t>
  </si>
  <si>
    <t>Cape Town International Airport - Grabouw Transfer</t>
  </si>
  <si>
    <t>South Africa, Hermanus</t>
  </si>
  <si>
    <t>Cape Town International Airport - Hermanus Transfer</t>
  </si>
  <si>
    <t>South Africa, Kleinmond</t>
  </si>
  <si>
    <t>Cape Town International Airport - Kleinmond Transfer</t>
  </si>
  <si>
    <t>South Africa, Knysna</t>
  </si>
  <si>
    <t>Cape Town International Airport - Knysna Transfer</t>
  </si>
  <si>
    <t>South Africa, Langebaan</t>
  </si>
  <si>
    <t>Cape Town International Airport - Langebaan Transfer</t>
  </si>
  <si>
    <t>South Africa, Melkbosstrand</t>
  </si>
  <si>
    <t>Cape Town International Airport - Melkbosstrand Transfer</t>
  </si>
  <si>
    <t>South Africa, Milnerton</t>
  </si>
  <si>
    <t>Cape Town International Airport - Milnerton Transfer</t>
  </si>
  <si>
    <t>South Africa, Noordhoek</t>
  </si>
  <si>
    <t>Cape Town International Airport - Noordhoek Transfer</t>
  </si>
  <si>
    <t>South Africa, Oudtshoorn</t>
  </si>
  <si>
    <t>Cape Town International Airport - Oudsthoorn Transfer</t>
  </si>
  <si>
    <t>South Africa, Paarl</t>
  </si>
  <si>
    <t>Cape Town International Airport - Paarl Transfer</t>
  </si>
  <si>
    <t>Cape Town International Airport - Wellington Transfer</t>
  </si>
  <si>
    <t>South Africa, Parow</t>
  </si>
  <si>
    <t>Cape Town International Airport - Parow Transfer</t>
  </si>
  <si>
    <t>South Africa, Somerset West</t>
  </si>
  <si>
    <t>Cape Town International Airport - Somerset West Transfer</t>
  </si>
  <si>
    <t>South Africa, Stellenbosch</t>
  </si>
  <si>
    <t>Cape Town International Airport - Stellenbosch Transfer</t>
  </si>
  <si>
    <t>South Africa, Touws River</t>
  </si>
  <si>
    <t>Cape Town International Airport - Aquila Private Game Reserve Transfer</t>
  </si>
  <si>
    <t>South Africa, Tulbagh</t>
  </si>
  <si>
    <t>Cape Town International Airport - Tulbagh Transfer</t>
  </si>
  <si>
    <t>South Africa, Carolina</t>
  </si>
  <si>
    <t>Carolina Transfer - OR Tambo International Airport</t>
  </si>
  <si>
    <t>South Africa, Centurion</t>
  </si>
  <si>
    <t>Centurion Transfer - OR Tambo International Airport</t>
  </si>
  <si>
    <t>South Africa, Chrissiesmeer</t>
  </si>
  <si>
    <t>Chrissiesmeer Transfer - OR Tambo International Airport</t>
  </si>
  <si>
    <t>South Africa, Delmas</t>
  </si>
  <si>
    <t>Delmas Transfer - OR Tambo International Airport</t>
  </si>
  <si>
    <t>South Africa, Dullstroom</t>
  </si>
  <si>
    <t>Dullstrom Transfer - OR Tambo International Airport</t>
  </si>
  <si>
    <t>Durban International Airport - Ballito Transfer</t>
  </si>
  <si>
    <t>Durban International Airport - Dolphin Coast Transfer</t>
  </si>
  <si>
    <t>Durban International Airport - Zimbali Estate Transfer</t>
  </si>
  <si>
    <t>Durban International Airport - Two Oceans Mall Transfer</t>
  </si>
  <si>
    <t>Durban International Airport - Durban North Transfer</t>
  </si>
  <si>
    <t>Durban International Airport - Durban Transfer</t>
  </si>
  <si>
    <t>Durban International Airport - Greater Durban Metro Transfer</t>
  </si>
  <si>
    <t>Durban International Airport - Moses Mabhida Stadium Transfer</t>
  </si>
  <si>
    <t>Durban International Airport - North Beach Transfer</t>
  </si>
  <si>
    <t>Durban International Airport - Umhlanga Transfer</t>
  </si>
  <si>
    <t>Durban International Airport - uShaka Marine World Transfer</t>
  </si>
  <si>
    <t>Durban International Airport - Westville Transfer</t>
  </si>
  <si>
    <t>Durban North Transfer - Durban International Airport</t>
  </si>
  <si>
    <t>Durban Transfer - Durban International Airport</t>
  </si>
  <si>
    <t>Greater Durban Metro Transfer - Durban International Airport</t>
  </si>
  <si>
    <t>Moses Mabhida Stadium Transfer - Durban International Airport</t>
  </si>
  <si>
    <t>North Beach Transfer - Durban International Airport</t>
  </si>
  <si>
    <t>Umhlanga Transfer - Durban International Airport</t>
  </si>
  <si>
    <t>uShaka Marine World Transfer - Durban International Airport</t>
  </si>
  <si>
    <t>Westville Transfer - Durban International Airport</t>
  </si>
  <si>
    <t>South Africa, Ezibananeni</t>
  </si>
  <si>
    <t>Durban International Airport - Mngeni River Transfer</t>
  </si>
  <si>
    <t>Marigold Park Transfer - Chief Dawid Stuurman Intl Airport</t>
  </si>
  <si>
    <t>South Africa, Hillcrest</t>
  </si>
  <si>
    <t>Durban International Airport - Battlefields Transfer</t>
  </si>
  <si>
    <t>South Africa, Hluhluwe iMfolozi Park</t>
  </si>
  <si>
    <t>Durban International Airport - Hluhluwe-iMfolozi Park Transfer</t>
  </si>
  <si>
    <t>South Africa, iSimangaliso Wetland Park</t>
  </si>
  <si>
    <t>Durban International Airport - iSimangaliso Wetland Park Transfer</t>
  </si>
  <si>
    <t>Durban International Airport - Morningside Transfer</t>
  </si>
  <si>
    <t>South Africa, KwaMashu</t>
  </si>
  <si>
    <t>Durban International Airport - KwaMashu Transfer</t>
  </si>
  <si>
    <t>South Africa, Maloti Drakensberg Park</t>
  </si>
  <si>
    <t>Durban International Airport - Ukhahlamba Drakensberg Park Transfer</t>
  </si>
  <si>
    <t>South Africa, Oribi Gorge Nature Reserve</t>
  </si>
  <si>
    <t>Durban International Airport - Oribi Gorge Nature Reserve Transfer</t>
  </si>
  <si>
    <t>South Africa, Pietermaritzburg</t>
  </si>
  <si>
    <t>Durban International Airport - Glenwood Transfer</t>
  </si>
  <si>
    <t>Durban International Airport - Natal Milands Transfer</t>
  </si>
  <si>
    <t>Durban International Airport - Pietermaritzburg Botanical Gardens Transfer</t>
  </si>
  <si>
    <t>Durban International Airport - Pietermaritzburg Transfer</t>
  </si>
  <si>
    <t>South Africa, Pinetown</t>
  </si>
  <si>
    <t>Durban International Airport - Pine Town Transfer</t>
  </si>
  <si>
    <t>South Africa, Richards Bay</t>
  </si>
  <si>
    <t>Durban International Airport - Richards Bay Transfer</t>
  </si>
  <si>
    <t>South Africa, Roseneath</t>
  </si>
  <si>
    <t>Durban International Airport - South Coast Transfer</t>
  </si>
  <si>
    <t>South Africa, Sodwana Bay National Park</t>
  </si>
  <si>
    <t>Durban International Airport - Sodwana Bay National Park Transfer</t>
  </si>
  <si>
    <t>South Africa, St Lucia</t>
  </si>
  <si>
    <t>Durban International Airport - Elephant Coast Transfer</t>
  </si>
  <si>
    <t>Durban International Airport - St Lucia Transfer</t>
  </si>
  <si>
    <t>South Africa, uMgeni</t>
  </si>
  <si>
    <t>Durban International Airport - Midlands Meander Transfer</t>
  </si>
  <si>
    <t>South Africa, Umhlanga Rocks</t>
  </si>
  <si>
    <t>Durban International Airport - Umhlanga Rocks Transfer</t>
  </si>
  <si>
    <t>South Africa, Westbrook</t>
  </si>
  <si>
    <t>Durban International Airport - Westbrook Transfer</t>
  </si>
  <si>
    <t>South Africa, eMakhazeni</t>
  </si>
  <si>
    <t>eMakhazeni Transfer - OR Tambo International Airport</t>
  </si>
  <si>
    <t>South Africa, Emalahleni</t>
  </si>
  <si>
    <t>eMalahleni Transfer - OR Tambo International Airport</t>
  </si>
  <si>
    <t>KrielOgies Transfer - OR Tambo International Airport</t>
  </si>
  <si>
    <t>South Africa, eManzana</t>
  </si>
  <si>
    <t>Badplaas Transfer - OR Tambo International Airport</t>
  </si>
  <si>
    <t>South Africa, Empangeni</t>
  </si>
  <si>
    <t>Fairview Transfer - Chief Dawid Stuurman Intl Airport</t>
  </si>
  <si>
    <t>South Africa, eMvelo</t>
  </si>
  <si>
    <t>Amsterdam Transfer - OR Tambo International Airport</t>
  </si>
  <si>
    <t>South Africa, Ermelo</t>
  </si>
  <si>
    <t>Ermelo Transfer - OR Tambo International Airport</t>
  </si>
  <si>
    <t>Mngeni River Transfer - Durban International Airport</t>
  </si>
  <si>
    <t>Fish Hoek Transfer - Cape Town International Airport</t>
  </si>
  <si>
    <t>Franschoek Transfer - Cape Town International Airport</t>
  </si>
  <si>
    <t>South Africa, Gamtoos Mouth</t>
  </si>
  <si>
    <t>Mondplaas Ponds Transfer - Chief Dawid Stuurman Intl Airport</t>
  </si>
  <si>
    <t>Gansbaai Transfer - Cape Town International Airport</t>
  </si>
  <si>
    <t>South Africa, Germistone</t>
  </si>
  <si>
    <t>Bedford Gardens Transfer - OR Tambo International Airport</t>
  </si>
  <si>
    <t>Chief Dawid Stuurman Intl Airport - Addo Elephant National Park Transfer</t>
  </si>
  <si>
    <t>Chief Dawid Stuurman Intl Airport - Amakhala Game Reserve Transfer</t>
  </si>
  <si>
    <t>Chief Dawid Stuurman Intl Airport - Penguin Route Transfer</t>
  </si>
  <si>
    <t>Chief Dawid Stuurman Intl Airport - Marigold Park Transfer</t>
  </si>
  <si>
    <t>Chief Dawid Stuurman Intl Airport - Fairview Transfer</t>
  </si>
  <si>
    <t>Chief Dawid Stuurman Intl Airport - Mondplaas Ponds Transfer</t>
  </si>
  <si>
    <t>Bayworld Museum Complex Transfer - Chief Dawid Stuurman Intl Airport</t>
  </si>
  <si>
    <t>Bluewater bay Transfer - Chief Dawid Stuurman Intl Airport</t>
  </si>
  <si>
    <t>Boardwalk Casino and Entertainment Complex Transfer - Chief Dawid Stuurman Intl Airport</t>
  </si>
  <si>
    <t>Cape Recife Nature Reserve Transfer - Chief Dawid Stuurman Intl Airport</t>
  </si>
  <si>
    <t>Charlo Transfer - Chief Dawid Stuurman Intl Airport</t>
  </si>
  <si>
    <t>Chief Dawid Stuurman Intl Airport - Bayworld Museum Complex Transfer</t>
  </si>
  <si>
    <t>Chief Dawid Stuurman Intl Airport - Bluewater bay Transfer</t>
  </si>
  <si>
    <t>Chief Dawid Stuurman Intl Airport - Boardwalk Casino and Entertainment Complex Transfer</t>
  </si>
  <si>
    <t>Chief Dawid Stuurman Intl Airport - Cape Recife Nature Reserve Transfer</t>
  </si>
  <si>
    <t>Chief Dawid Stuurman Intl Airport - Charlo Transfer</t>
  </si>
  <si>
    <t>Chief Dawid Stuurman Intl Airport - Cora Terrace Transfer</t>
  </si>
  <si>
    <t>Chief Dawid Stuurman Intl Airport - Donkin Heritage Trail Transfer</t>
  </si>
  <si>
    <t>Chief Dawid Stuurman Intl Airport - Eastern Cape Beaches Transfer</t>
  </si>
  <si>
    <t>Chief Dawid Stuurman Intl Airport - Fort Frederick Transfer</t>
  </si>
  <si>
    <t>Chief Dawid Stuurman Intl Airport - Groendal Nature Reserve Transfer</t>
  </si>
  <si>
    <t>Chief Dawid Stuurman Intl Airport - Humewood Golf Club Transfer</t>
  </si>
  <si>
    <t>Chief Dawid Stuurman Intl Airport - Humewood Transfer</t>
  </si>
  <si>
    <t>Chief Dawid Stuurman Intl Airport - iBhayi Sunshine Saunter Route Transfer</t>
  </si>
  <si>
    <t>Chief Dawid Stuurman Intl Airport - Island Nature Reserve Transfer</t>
  </si>
  <si>
    <t>Chief Dawid Stuurman Intl Airport - Kragga Kamma Game Park Transfer</t>
  </si>
  <si>
    <t>Chief Dawid Stuurman Intl Airport - Kwamagxaki/Motherwell Transfer</t>
  </si>
  <si>
    <t>Chief Dawid Stuurman Intl Airport - Lorraine Transfer</t>
  </si>
  <si>
    <t>Chief Dawid Stuurman Intl Airport - Maitland Nature Reserve Transfer</t>
  </si>
  <si>
    <t>Chief Dawid Stuurman Intl Airport - Mount Pleasant Transfer</t>
  </si>
  <si>
    <t>Chief Dawid Stuurman Intl Airport - Mount Road Transfer</t>
  </si>
  <si>
    <t>Chief Dawid Stuurman Intl Airport - Nelson Mandela Bay Stadium Transfer</t>
  </si>
  <si>
    <t>Chief Dawid Stuurman Intl Airport - Nelson Mandela Voting Line Sculpture Transfer</t>
  </si>
  <si>
    <t>Chief Dawid Stuurman Intl Airport - Newton Park Transfer</t>
  </si>
  <si>
    <t>Chief Dawid Stuurman Intl Airport - Old Harbour Board Building Transfer</t>
  </si>
  <si>
    <t>Chief Dawid Stuurman Intl Airport - PE Central Transfer</t>
  </si>
  <si>
    <t>Chief Dawid Stuurman Intl Airport - Port Elizabeth Central Transfer</t>
  </si>
  <si>
    <t>Chief Dawid Stuurman Intl Airport - Sacramento Cannon Transfer</t>
  </si>
  <si>
    <t>Chief Dawid Stuurman Intl Airport - Settlers Park Nature Reserve Transfer</t>
  </si>
  <si>
    <t>Chief Dawid Stuurman Intl Airport - Summerstrand/Bay Area Transfer</t>
  </si>
  <si>
    <t>Chief Dawid Stuurman Intl Airport - Sunridge Park Transfer</t>
  </si>
  <si>
    <t>Chief Dawid Stuurman Intl Airport - Walmer Transfer</t>
  </si>
  <si>
    <t>Cora Terrace Transfer - Chief Dawid Stuurman Intl Airport</t>
  </si>
  <si>
    <t>Donkin Heritage Trail Transfer - Chief Dawid Stuurman Intl Airport</t>
  </si>
  <si>
    <t>Eastern Cape Beaches Transfer - Chief Dawid Stuurman Intl Airport</t>
  </si>
  <si>
    <t>Fort Frederick Transfer - Chief Dawid Stuurman Intl Airport</t>
  </si>
  <si>
    <t>Groendal Nature Reserve Transfer - Chief Dawid Stuurman Intl Airport</t>
  </si>
  <si>
    <t>Humewood Golf Club Transfer - Chief Dawid Stuurman Intl Airport</t>
  </si>
  <si>
    <t>Humewood Transfer - Chief Dawid Stuurman Intl Airport</t>
  </si>
  <si>
    <t>iBhayi Sunshine Saunter Route Transfer - Chief Dawid Stuurman Intl Airport</t>
  </si>
  <si>
    <t>Island Nature Reserve Transfer - Chief Dawid Stuurman Intl Airport</t>
  </si>
  <si>
    <t>Kragga Kamma Game Park Transfer - Chief Dawid Stuurman Intl Airport</t>
  </si>
  <si>
    <t>Kwamagxaki/Motherwell Transfer - Chief Dawid Stuurman Intl Airport</t>
  </si>
  <si>
    <t>Lorraine Transfer - Chief Dawid Stuurman Intl Airport</t>
  </si>
  <si>
    <t>Maitland Nature Reserve Transfer - Chief Dawid Stuurman Intl Airport</t>
  </si>
  <si>
    <t>Mount Pleasant Transfer - Chief Dawid Stuurman Intl Airport</t>
  </si>
  <si>
    <t>Mount Road Transfer - Chief Dawid Stuurman Intl Airport</t>
  </si>
  <si>
    <t>Nelson Mandela Bay Stadium Transfer - Chief Dawid Stuurman Intl Airport</t>
  </si>
  <si>
    <t>Nelson Mandela Voting Line Sculpture Transfer - Chief Dawid Stuurman Intl Airport</t>
  </si>
  <si>
    <t>Newton Park Transfer - Chief Dawid Stuurman Intl Airport</t>
  </si>
  <si>
    <t>Old Harbour Board Building Transfer - Chief Dawid Stuurman Intl Airport</t>
  </si>
  <si>
    <t>PE Central Transfer - Chief Dawid Stuurman Intl Airport</t>
  </si>
  <si>
    <t>Port Elizabeth Central Transfer - Chief Dawid Stuurman Intl Airport</t>
  </si>
  <si>
    <t>Sacramento Cannon Transfer - Chief Dawid Stuurman Intl Airport</t>
  </si>
  <si>
    <t>Settlers Park Nature Reserve Transfer - Chief Dawid Stuurman Intl Airport</t>
  </si>
  <si>
    <t>Summerstrand/Bay Area Transfer - Chief Dawid Stuurman Intl Airport</t>
  </si>
  <si>
    <t>Sunridge Park Transfer - Chief Dawid Stuurman Intl Airport</t>
  </si>
  <si>
    <t>Walmer Transfer - Chief Dawid Stuurman Intl Airport</t>
  </si>
  <si>
    <t>Chief Dawid Stuurman Intl Airport - Milpark Transfer</t>
  </si>
  <si>
    <t>South Africa, Ndondolo</t>
  </si>
  <si>
    <t>Chief Dawid Stuurman Intl Airport - Northern Areas Transfer</t>
  </si>
  <si>
    <t>Zimbabwe, Harare</t>
  </si>
  <si>
    <t>Mount Pleasant Transfer - Harare Robert Gabriel Mugabe Airport</t>
  </si>
  <si>
    <t>Grabouw Transfer - Cape Town International Airport</t>
  </si>
  <si>
    <t>South Africa, Graskop</t>
  </si>
  <si>
    <t>Graskop Transfer - OR Tambo International Airport</t>
  </si>
  <si>
    <t>South Africa, Greylingstad</t>
  </si>
  <si>
    <t>Greylingstad Transfer - OR Tambo International Airport</t>
  </si>
  <si>
    <t>South Africa, Hartbeespoort</t>
  </si>
  <si>
    <t>Hartesbpoort Transfer - OR Tambo International Airport</t>
  </si>
  <si>
    <t>South Africa, Hazyview</t>
  </si>
  <si>
    <t>Hazyview Transfer - OR Tambo International Airport</t>
  </si>
  <si>
    <t>South Africa, Hectorspruit</t>
  </si>
  <si>
    <t>Hectorspruit Transfer - OR Tambo International Airport</t>
  </si>
  <si>
    <t>South Africa, Hendrina</t>
  </si>
  <si>
    <t>Hendrina Transfer - OR Tambo International Airport</t>
  </si>
  <si>
    <t>Hermanus Transfer - Cape Town International Airport</t>
  </si>
  <si>
    <t>Battlefields Transfer - Durban International Airport</t>
  </si>
  <si>
    <t>Hluhluwe-iMfolozi Park Transfer - Durban International Airport</t>
  </si>
  <si>
    <t>iSimangaliso Wetland Park Transfer - Durban International Airport</t>
  </si>
  <si>
    <t>OR Tambo International Airport - Alberton Transfer</t>
  </si>
  <si>
    <t>OR Tambo International Airport - Amersfoort Transfer</t>
  </si>
  <si>
    <t>OR Tambo International Airport - Balfour Transfer</t>
  </si>
  <si>
    <t>OR Tambo International Airport - Barberton Transfer</t>
  </si>
  <si>
    <t>OR Tambo International Airport - Bela-Bela Transfer</t>
  </si>
  <si>
    <t>OR Tambo International Airport - Mabula Game Lodge Transfer</t>
  </si>
  <si>
    <t>OR Tambo International Airport - Sondela Lodge &amp; Spa Transfer</t>
  </si>
  <si>
    <t>OR Tambo International Airport - Zebula Golf &amp; Spa Transfer</t>
  </si>
  <si>
    <t>OR Tambo International Airport - Benoni Transfer</t>
  </si>
  <si>
    <t>OR Tambo International Airport - Bethal Transfer</t>
  </si>
  <si>
    <t>OR Tambo International Airport - Boksburg Transfer</t>
  </si>
  <si>
    <t>OR Tambo International Airport - Breyten Transfer</t>
  </si>
  <si>
    <t>OR Tambo International Airport - Bushbuckridge Transfer</t>
  </si>
  <si>
    <t>OR Tambo International Airport - Carolina Transfer</t>
  </si>
  <si>
    <t>OR Tambo International Airport - Centurion Transfer</t>
  </si>
  <si>
    <t>OR Tambo International Airport - Chrissiesmeer Transfer</t>
  </si>
  <si>
    <t>OR Tambo International Airport - Delmas Transfer</t>
  </si>
  <si>
    <t>OR Tambo International Airport - Dullstrom Transfer</t>
  </si>
  <si>
    <t>Morningside Transfer - Durban International Airport</t>
  </si>
  <si>
    <t>OR Tambo International Airport - eMakhazeni Transfer</t>
  </si>
  <si>
    <t>OR Tambo International Airport - eMalahleni Transfer</t>
  </si>
  <si>
    <t>OR Tambo International Airport - KrielOgies Transfer</t>
  </si>
  <si>
    <t>OR Tambo International Airport - Badplaas Transfer</t>
  </si>
  <si>
    <t>OR Tambo International Airport - Amsterdam Transfer</t>
  </si>
  <si>
    <t>OR Tambo International Airport - Ermelo Transfer</t>
  </si>
  <si>
    <t>OR Tambo International Airport - Bedford Gardens Transfer</t>
  </si>
  <si>
    <t>Milpark Transfer - Chief Dawid Stuurman Intl Airport</t>
  </si>
  <si>
    <t>OR Tambo International Airport - Graskop Transfer</t>
  </si>
  <si>
    <t>OR Tambo International Airport - Greylingstad Transfer</t>
  </si>
  <si>
    <t>OR Tambo International Airport - Hartesbpoort Transfer</t>
  </si>
  <si>
    <t>OR Tambo International Airport - Hazyview Transfer</t>
  </si>
  <si>
    <t>OR Tambo International Airport - Hectorspruit Transfer</t>
  </si>
  <si>
    <t>OR Tambo International Airport - Hendrina Transfer</t>
  </si>
  <si>
    <t>Abbotsford Transfer - OR Tambo International Airport</t>
  </si>
  <si>
    <t>Albertville Transfer - OR Tambo International Airport</t>
  </si>
  <si>
    <t>Atholl Transfer - OR Tambo International Airport</t>
  </si>
  <si>
    <t>Auckland Park Transfer - OR Tambo International Airport</t>
  </si>
  <si>
    <t>Bedford View Transfer - OR Tambo International Airport</t>
  </si>
  <si>
    <t>Bellevue Transfer - OR Tambo International Airport</t>
  </si>
  <si>
    <t>Bezuidenhout Valley Transfer - OR Tambo International Airport</t>
  </si>
  <si>
    <t>Cyrildene Transfer - OR Tambo International Airport</t>
  </si>
  <si>
    <t>Fourways Transfer - OR Tambo International Airport</t>
  </si>
  <si>
    <t>Johannesburg Transfer - OR Tambo International Airport</t>
  </si>
  <si>
    <t>Kempton Park Transfer - OR Tambo International Airport</t>
  </si>
  <si>
    <t>Kensington Transfer - OR Tambo International Airport</t>
  </si>
  <si>
    <t>Meredale Transfer - OR Tambo International Airport</t>
  </si>
  <si>
    <t>Mulbarton Transfer - OR Tambo International Airport</t>
  </si>
  <si>
    <t>Northcliff Transfer - OR Tambo International Airport</t>
  </si>
  <si>
    <t>Oakdene Transfer - OR Tambo International Airport</t>
  </si>
  <si>
    <t>OR Tambo International Airport - Abbotsford Transfer</t>
  </si>
  <si>
    <t>OR Tambo International Airport - Albertville Transfer</t>
  </si>
  <si>
    <t>OR Tambo International Airport - Atholl Transfer</t>
  </si>
  <si>
    <t>OR Tambo International Airport - Auckland Park Transfer</t>
  </si>
  <si>
    <t>OR Tambo International Airport - Bedford View Transfer</t>
  </si>
  <si>
    <t>OR Tambo International Airport - Bellevue Transfer</t>
  </si>
  <si>
    <t>OR Tambo International Airport - Bezuidenhout Valley Transfer</t>
  </si>
  <si>
    <t>OR Tambo International Airport - Cyrildene Transfer</t>
  </si>
  <si>
    <t>OR Tambo International Airport - Fourways Transfer</t>
  </si>
  <si>
    <t>OR Tambo International Airport - Johannesburg Transfer</t>
  </si>
  <si>
    <t>OR Tambo International Airport - Kempton Park Transfer</t>
  </si>
  <si>
    <t>OR Tambo International Airport - Kensington Transfer</t>
  </si>
  <si>
    <t>OR Tambo International Airport - Meredale Transfer</t>
  </si>
  <si>
    <t>OR Tambo International Airport - Mulbarton Transfer</t>
  </si>
  <si>
    <t>OR Tambo International Airport - Northcliff Transfer</t>
  </si>
  <si>
    <t>OR Tambo International Airport - Oakdene Transfer</t>
  </si>
  <si>
    <t>OR Tambo International Airport - Ormonde Transfer</t>
  </si>
  <si>
    <t>OR Tambo International Airport - Parkhurst Transfer</t>
  </si>
  <si>
    <t>OR Tambo International Airport - Parktown Transfer</t>
  </si>
  <si>
    <t>OR Tambo International Airport - Parkview Transfer</t>
  </si>
  <si>
    <t>OR Tambo International Airport - Randburg Transfer</t>
  </si>
  <si>
    <t>OR Tambo International Airport - Rosebank Transfer</t>
  </si>
  <si>
    <t>OR Tambo International Airport - Saxonwold Transfer</t>
  </si>
  <si>
    <t>Ormonde Transfer - OR Tambo International Airport</t>
  </si>
  <si>
    <t>Parkhurst Transfer - OR Tambo International Airport</t>
  </si>
  <si>
    <t>Parktown Transfer - OR Tambo International Airport</t>
  </si>
  <si>
    <t>Parkview Transfer - OR Tambo International Airport</t>
  </si>
  <si>
    <t>Randburg Transfer - OR Tambo International Airport</t>
  </si>
  <si>
    <t>Rosebank Transfer - OR Tambo International Airport</t>
  </si>
  <si>
    <t>Saxonwold Transfer - OR Tambo International Airport</t>
  </si>
  <si>
    <t>South Africa, Kaapschehoop</t>
  </si>
  <si>
    <t>OR Tambo International Airport - Kaapsche Hoop Transfer</t>
  </si>
  <si>
    <t>South Africa, Kempton Park</t>
  </si>
  <si>
    <t>OR Tambo International Airport - Birch Acres Transfer</t>
  </si>
  <si>
    <t>OR Tambo International Airport - Birchleigh Transfer</t>
  </si>
  <si>
    <t>South Africa, Kinross ZA</t>
  </si>
  <si>
    <t>OR Tambo International Airport - Kinross Transfer</t>
  </si>
  <si>
    <t>South Africa, Komatipoort</t>
  </si>
  <si>
    <t>OR Tambo International Airport - Komatipoort Transfer</t>
  </si>
  <si>
    <t>South Africa, Kruger National Park</t>
  </si>
  <si>
    <t>OR Tambo International Airport - Kruger National Park Transfer</t>
  </si>
  <si>
    <t>South Africa, Krugersdorp</t>
  </si>
  <si>
    <t>OR Tambo International Airport - Krugersdrop Transfer</t>
  </si>
  <si>
    <t>OR Tambo International Airport - Muldersdrift Transfer</t>
  </si>
  <si>
    <t>South Africa, Kwaggafontein</t>
  </si>
  <si>
    <t>OR Tambo International Airport - Kwaggafontein Transfer</t>
  </si>
  <si>
    <t>South Africa, KwaMhlanga</t>
  </si>
  <si>
    <t>OR Tambo International Airport - KwaMhlanga Transfer</t>
  </si>
  <si>
    <t>South Africa, Loopspruit</t>
  </si>
  <si>
    <t>OR Tambo International Airport - Loopspruit Transfer</t>
  </si>
  <si>
    <t>South Africa, Machadadorp</t>
  </si>
  <si>
    <t>OR Tambo International Airport - Machadadorp Hotel Transfer</t>
  </si>
  <si>
    <t>South Africa, Madhikwe Game Reserve</t>
  </si>
  <si>
    <t>OR Tambo International Airport - Madhikwe Game Reserve Transfer</t>
  </si>
  <si>
    <t>South Africa, Malelane</t>
  </si>
  <si>
    <t>OR Tambo International Airport - Malelane Transfer</t>
  </si>
  <si>
    <t>South Africa, Matsulu</t>
  </si>
  <si>
    <t>OR Tambo International Airport - Kaapmuiden Transfer</t>
  </si>
  <si>
    <t>South Africa, Mbombela</t>
  </si>
  <si>
    <t>OR Tambo International Airport - Nelspruit Transfer</t>
  </si>
  <si>
    <t>South Africa, Meyersdal</t>
  </si>
  <si>
    <t>OR Tambo International Airport - Meyersdale Transfer</t>
  </si>
  <si>
    <t>South Africa, Middelburg</t>
  </si>
  <si>
    <t>OR Tambo International Airport - Middleburg Transfer</t>
  </si>
  <si>
    <t>South Africa, Midrand</t>
  </si>
  <si>
    <t>OR Tambo International Airport - Midrand Transfer</t>
  </si>
  <si>
    <t>South Africa, Perdekop</t>
  </si>
  <si>
    <t>OR Tambo International Airport - Perdekop Transfer</t>
  </si>
  <si>
    <t>South Africa, Pilanesberg</t>
  </si>
  <si>
    <t>OR Tambo International Airport - Pilanesberg Transfer</t>
  </si>
  <si>
    <t>South Africa, Pilanesberg National Park</t>
  </si>
  <si>
    <t>OR Tambo International Airport - Ivory Tree Game Lodge Transfer</t>
  </si>
  <si>
    <t>OR Tambo International Airport - Shepherd Tree Game Lodge Transfer</t>
  </si>
  <si>
    <t>South Africa, Pont Drift</t>
  </si>
  <si>
    <t>OR Tambo International Airport - Pont Drift Transfer</t>
  </si>
  <si>
    <t>South Africa, Potchefstroom</t>
  </si>
  <si>
    <t>OR Tambo International Airport - Potchestroom Transfer</t>
  </si>
  <si>
    <t>South Africa, Pretoria</t>
  </si>
  <si>
    <t>OR Tambo International Airport - Menlyn Transfer</t>
  </si>
  <si>
    <t>OR Tambo International Airport - Pretoria Transfer</t>
  </si>
  <si>
    <t>South Africa, Randburg</t>
  </si>
  <si>
    <t>OR Tambo International Airport - Bushill Estate Transfer</t>
  </si>
  <si>
    <t>OR Tambo International Airport - Northriding Transfer</t>
  </si>
  <si>
    <t>South Africa, Roodepoort</t>
  </si>
  <si>
    <t>OR Tambo International Airport - Roodepoort Transfer</t>
  </si>
  <si>
    <t>OR Tambo International Airport - Strubens Valley Transfer</t>
  </si>
  <si>
    <t>OR Tambo International Airport - Wilgeheuwel Transfer</t>
  </si>
  <si>
    <t>OR Tambo International Airport - Wilro Park Transfer</t>
  </si>
  <si>
    <t>OR Tambo International Airport - Witpoortjie Transfer</t>
  </si>
  <si>
    <t>South Africa, Rustenburg</t>
  </si>
  <si>
    <t>OR Tambo International Airport - Rustenburg Transfer</t>
  </si>
  <si>
    <t>South Africa, Sabie</t>
  </si>
  <si>
    <t>OR Tambo International Airport - Sabie Transfer</t>
  </si>
  <si>
    <t>South Africa, Sandton</t>
  </si>
  <si>
    <t>OR Tambo International Airport - Broadaches Transfer</t>
  </si>
  <si>
    <t>OR Tambo International Airport - Melrose Arch</t>
  </si>
  <si>
    <t>OR Tambo International Airport - Parkmore Transfer</t>
  </si>
  <si>
    <t>OR Tambo International Airport - Sandton Transfer</t>
  </si>
  <si>
    <t>South Africa, Secunda</t>
  </si>
  <si>
    <t>OR Tambo International Airport - Secunda Transfer</t>
  </si>
  <si>
    <t>South Africa, Soweto</t>
  </si>
  <si>
    <t>OR Tambo International Airport - Soweto Transfer</t>
  </si>
  <si>
    <t>South Africa, Springs</t>
  </si>
  <si>
    <t>OR Tambo International Airport - Springs Transfer</t>
  </si>
  <si>
    <t>South Africa, Sun City</t>
  </si>
  <si>
    <t>OR Tambo International Airport - Sun City Resort</t>
  </si>
  <si>
    <t>South Africa, Ukutula Lion Park</t>
  </si>
  <si>
    <t>OR Tambo International Airport - Ukutula Lion Park Transfer</t>
  </si>
  <si>
    <t>South Africa, Vanderbijlpark</t>
  </si>
  <si>
    <t>OR Tambo International Airport - Vanderbijlpark Transfer</t>
  </si>
  <si>
    <t>South Africa, Wakkerstroom</t>
  </si>
  <si>
    <t>OR Tambo International Airport - Wakkerstroom Transfer</t>
  </si>
  <si>
    <t>South Africa, Waterval Boven</t>
  </si>
  <si>
    <t>OR Tambo International Airport - Waterval Boven Transfer</t>
  </si>
  <si>
    <t>South Africa, White River South Africa</t>
  </si>
  <si>
    <t>OR Tambo International Airport - White River Transfer</t>
  </si>
  <si>
    <t>Kaapsche Hoop Transfer - OR Tambo International Airport</t>
  </si>
  <si>
    <t>Birch Acres Transfer - OR Tambo International Airport</t>
  </si>
  <si>
    <t>Birchleigh Transfer - OR Tambo International Airport</t>
  </si>
  <si>
    <t>Kinross Transfer - OR Tambo International Airport</t>
  </si>
  <si>
    <t>Kleinmond Transfer - Cape Town International Airport</t>
  </si>
  <si>
    <t>Knysna Transfer - Cape Town International Airport</t>
  </si>
  <si>
    <t>Komatipoort Transfer - OR Tambo International Airport</t>
  </si>
  <si>
    <t>Kruger National Park Transfer - OR Tambo International Airport</t>
  </si>
  <si>
    <t>Krugersdrop Transfer - OR Tambo International Airport</t>
  </si>
  <si>
    <t>Muldersdrift Transfer - OR Tambo International Airport</t>
  </si>
  <si>
    <t>Kwaggafontein Transfer - OR Tambo International Airport</t>
  </si>
  <si>
    <t>KwaMashu Transfer - Durban International Airport</t>
  </si>
  <si>
    <t>KwaMhlanga Transfer - OR Tambo International Airport</t>
  </si>
  <si>
    <t>Langebaan Transfer - Cape Town International Airport</t>
  </si>
  <si>
    <t>Loopspruit Transfer - OR Tambo International Airport</t>
  </si>
  <si>
    <t>Machadadorp Hotel Transfer - OR Tambo International Airport</t>
  </si>
  <si>
    <t>Madhikwe Game Reserve Transfer - OR Tambo International Airport</t>
  </si>
  <si>
    <t>Malelane Transfer - OR Tambo International Airport</t>
  </si>
  <si>
    <t>Ukhahlamba Drakensberg Park Transfer - Durban International Airport</t>
  </si>
  <si>
    <t>Kaapmuiden Transfer - OR Tambo International Airport</t>
  </si>
  <si>
    <t>Nelspruit Transfer - OR Tambo International Airport</t>
  </si>
  <si>
    <t>Melkbosstrand Transfer - Cape Town International Airport</t>
  </si>
  <si>
    <t>Meyersdale Transfer - OR Tambo International Airport</t>
  </si>
  <si>
    <t>Middleburg Transfer - OR Tambo International Airport</t>
  </si>
  <si>
    <t>Midrand Transfer - OR Tambo International Airport</t>
  </si>
  <si>
    <t>Milnerton Transfer - Cape Town International Airport</t>
  </si>
  <si>
    <t>Northern Areas Transfer - Chief Dawid Stuurman Intl Airport</t>
  </si>
  <si>
    <t>Noordhoek Transfer - Cape Town International Airport</t>
  </si>
  <si>
    <t>Oribi Gorge Nature Reserve Transfer - Durban International Airport</t>
  </si>
  <si>
    <t>Oudsthoorn Transfer - Cape Town International Airport</t>
  </si>
  <si>
    <t>Paarl Transfer - Cape Town International Airport</t>
  </si>
  <si>
    <t>Wellington Transfer - Cape Town International Airport</t>
  </si>
  <si>
    <t>Parow Transfer - Cape Town International Airport</t>
  </si>
  <si>
    <t>Perdekop Transfer - OR Tambo International Airport</t>
  </si>
  <si>
    <t>Glenwood Transfer - Durban International Airport</t>
  </si>
  <si>
    <t>Natal Milands Transfer - Durban International Airport</t>
  </si>
  <si>
    <t>Pietermaritzburg Botanical Gardens Transfer - Durban International Airport</t>
  </si>
  <si>
    <t>Pietermaritzburg Transfer - Durban International Airport</t>
  </si>
  <si>
    <t>Pilanesberg Transfer - OR Tambo International Airport</t>
  </si>
  <si>
    <t>Ivory Tree Game Lodge Transfer - OR Tambo International Airport</t>
  </si>
  <si>
    <t>Shepherd Tree Game Lodge Transfer - OR Tambo International Airport</t>
  </si>
  <si>
    <t>Pine Town Transfer - Durban International Airport</t>
  </si>
  <si>
    <t>Pont Drift Transfer - OR Tambo International Airport</t>
  </si>
  <si>
    <t>Potchestroom Transfer - OR Tambo International Airport</t>
  </si>
  <si>
    <t>Menlyn Transfer - OR Tambo International Airport</t>
  </si>
  <si>
    <t>Pretoria Transfer - OR Tambo International Airport</t>
  </si>
  <si>
    <t>Bushill Estate Transfer - OR Tambo International Airport</t>
  </si>
  <si>
    <t>Northriding Transfer - OR Tambo International Airport</t>
  </si>
  <si>
    <t>Richards Bay Transfer - Durban International Airport</t>
  </si>
  <si>
    <t>Roodepoort Transfer - OR Tambo International Airport</t>
  </si>
  <si>
    <t>Strubens Valley Transfer - OR Tambo International Airport</t>
  </si>
  <si>
    <t>Wilgeheuwel Transfer - OR Tambo International Airport</t>
  </si>
  <si>
    <t>Wilro Park Transfer - OR Tambo International Airport</t>
  </si>
  <si>
    <t>Witpoortjie Transfer - OR Tambo International Airport</t>
  </si>
  <si>
    <t>South Coast Transfer - Durban International Airport</t>
  </si>
  <si>
    <t>Rustenburg Transfer - OR Tambo International Airport</t>
  </si>
  <si>
    <t>Sabie Transfer - OR Tambo International Airport</t>
  </si>
  <si>
    <t>Broadaches Transfer - OR Tambo International Airport</t>
  </si>
  <si>
    <t>Melrose Arch - OR Tambo International Airport</t>
  </si>
  <si>
    <t>Parkmore Transfer - OR Tambo International Airport</t>
  </si>
  <si>
    <t>Sandton Transfer - OR Tambo International Airport</t>
  </si>
  <si>
    <t>Secunda Transfer - OR Tambo International Airport</t>
  </si>
  <si>
    <t>Sodwana Bay National Park Transfer - Durban International Airport</t>
  </si>
  <si>
    <t>Somerset West Transfer - Cape Town International Airport</t>
  </si>
  <si>
    <t>Soweto Transfer - OR Tambo International Airport</t>
  </si>
  <si>
    <t>Springs Transfer - OR Tambo International Airport</t>
  </si>
  <si>
    <t>Elephant Coast Transfer - Durban International Airport</t>
  </si>
  <si>
    <t>St Lucia Transfer - Durban International Airport</t>
  </si>
  <si>
    <t>Stellenbosch Transfer - Cape Town International Airport</t>
  </si>
  <si>
    <t>Sun City Resort - OR Tambo International Airport</t>
  </si>
  <si>
    <t>Aquila Private Game Reserve Transfer - Cape Town International Airport</t>
  </si>
  <si>
    <t>Tulbagh Transfer - Cape Town International Airport</t>
  </si>
  <si>
    <t>Ukutula Lion Park Transfer - OR Tambo International Airport</t>
  </si>
  <si>
    <t>Midlands Meander Transfer - Durban International Airport</t>
  </si>
  <si>
    <t>Umhlanga Rocks Transfer - Durban International Airport</t>
  </si>
  <si>
    <t>Vanderbijlpark Transfer - OR Tambo International Airport</t>
  </si>
  <si>
    <t>Wakkerstroom Transfer - OR Tambo International Airport</t>
  </si>
  <si>
    <t>Waterval Boven Transfer - OR Tambo International Airport</t>
  </si>
  <si>
    <t>Westbrook Transfer - Durban International Airport</t>
  </si>
  <si>
    <t>White River Transfer - OR Tambo International Airport</t>
  </si>
  <si>
    <t>Sri Lanka, Colombo</t>
  </si>
  <si>
    <t>Sri Lanka, Anuradhapura</t>
  </si>
  <si>
    <t>WAFL Cafe Wellewatte - Anuradhapura</t>
  </si>
  <si>
    <t>bus | Super Luxury</t>
  </si>
  <si>
    <t>Sri Lanka, Jaffna</t>
  </si>
  <si>
    <t>WAFL Cafe Wellewatte - Jaffna Bus Station</t>
  </si>
  <si>
    <t>Taiwan, Banqiao</t>
  </si>
  <si>
    <t>Taiwan, Beigang</t>
  </si>
  <si>
    <t>Banqiao - Beigang</t>
  </si>
  <si>
    <t>Taiwan, Nangang</t>
  </si>
  <si>
    <t>Taiwan, Taoyuan City</t>
  </si>
  <si>
    <t>Nangang - Taoyuan City</t>
  </si>
  <si>
    <t>Thailand, Ao Nang</t>
  </si>
  <si>
    <t>Thailand, Khao Sok</t>
  </si>
  <si>
    <t>Ao Nang Hotel Transfer - Khao Sok Bus Stop</t>
  </si>
  <si>
    <t>van | Van</t>
  </si>
  <si>
    <t>Thailand, Koh Lanta</t>
  </si>
  <si>
    <t>Ao Nang Hotel Transfer - Koh Lanta Hotel Transfer</t>
  </si>
  <si>
    <t>van | Taxi + Taxi</t>
  </si>
  <si>
    <t>Ao Nang Hotel Transfer - Saladan Pier Koh Lanta</t>
  </si>
  <si>
    <t>van | Van + Ferry</t>
  </si>
  <si>
    <t>Ao Nang Transfer except Krabi Town and Railay - Koh Lanta Transfer</t>
  </si>
  <si>
    <t>Thailand, Koh Phangan</t>
  </si>
  <si>
    <t>Ao Nang Hotel Transfer - Thong Sala</t>
  </si>
  <si>
    <t>Thailand, Koh Phi Phi</t>
  </si>
  <si>
    <t>Ao Nang Transfer - Koh Phi Phi</t>
  </si>
  <si>
    <t>ferry | Taxi + Speedboat</t>
  </si>
  <si>
    <t>Ao Nang Transfer except Krabi Town and Railay - Ton Sai Pier Koh Phi Phi</t>
  </si>
  <si>
    <t>ferry | Truck Taxi + Speedboat</t>
  </si>
  <si>
    <t>Wangsai Pier - Ton Sai Pier Koh Phi Phi</t>
  </si>
  <si>
    <t>Thailand, Koh Samui</t>
  </si>
  <si>
    <t>Ao Nang Hotel Transfer - Na Thon Seatran Ferry Pier</t>
  </si>
  <si>
    <t>Ao Nang Hotel Transfer - Phuket Bus Terminal 1</t>
  </si>
  <si>
    <t>Thailand, Aranyaprathet</t>
  </si>
  <si>
    <t>Aranyaprathet Poipet - Phnom Penh</t>
  </si>
  <si>
    <t>Aranyaprathet Poipet - Siem Reap</t>
  </si>
  <si>
    <t>Thailand, Ayutthaya</t>
  </si>
  <si>
    <t>Thailand, Sukhothai</t>
  </si>
  <si>
    <t>Ayutthaya Hotel Transfer - Sukhothai Hotel Transfer</t>
  </si>
  <si>
    <t>charter | VIP Van 9pax</t>
  </si>
  <si>
    <t>Khaosan The Twin 2000 Samsen Rd - Ao Nang</t>
  </si>
  <si>
    <t>bus | Bus</t>
  </si>
  <si>
    <t>Don Mueang International Airport - Chiang Mai Airport</t>
  </si>
  <si>
    <t>charter | Private Jet</t>
  </si>
  <si>
    <t>Don Mueang International Airport - Chiang Rai Airport</t>
  </si>
  <si>
    <t>Khaosan The Twin 2000 Samsen Rd - Hat Yai Van Stop</t>
  </si>
  <si>
    <t>Thailand, Hua Hin</t>
  </si>
  <si>
    <t>Don Mueang International Airport - Hua Hin Airport</t>
  </si>
  <si>
    <t>Thailand, Khao Lak</t>
  </si>
  <si>
    <t>Khaosan The Twin 2000 Samsen Rd - Khao Lak</t>
  </si>
  <si>
    <t>Khaosan The Twin 2000 Samsen Rd - Khao Sok van station</t>
  </si>
  <si>
    <t>Thailand, Koh Chang</t>
  </si>
  <si>
    <t>Bangkok Transfer - Koh Chang Transfer</t>
  </si>
  <si>
    <t>charter | Comfort 3pax</t>
  </si>
  <si>
    <t>Thailand, Koh Kood</t>
  </si>
  <si>
    <t>Don Mueang International Airport - Koh Kood Airfield</t>
  </si>
  <si>
    <t>Khaosan The Twin 2000 Samsen Rd - Hua Hin Pier</t>
  </si>
  <si>
    <t>Khaosan The Twin 2000 Samsen Rd - Thong Sala Koh Phangan</t>
  </si>
  <si>
    <t>bus | Bus + Ferry</t>
  </si>
  <si>
    <t>Khaosan The Twin 2000 Samsen Rd - Ton Sai Pier Koh Phi Phi</t>
  </si>
  <si>
    <t>bus | Bus + Longtail Boat</t>
  </si>
  <si>
    <t>Don Mueang International Airport - Samui Airport</t>
  </si>
  <si>
    <t>Khaosan The Twin 2000 Samsen Rd - Na Thon Koh Samui</t>
  </si>
  <si>
    <t>Thailand, Koh Tao</t>
  </si>
  <si>
    <t>Khaosan The Twin 2000 Samsen Rd - Koh Tao Night Boat Pier</t>
  </si>
  <si>
    <t>bus | Bus + Speedboat</t>
  </si>
  <si>
    <t>Khaosan The Twin 2000 Samsen Rd - Klong Jilard Pier</t>
  </si>
  <si>
    <t>Khaosan The Twin 2000 Samsen Rd - Railey</t>
  </si>
  <si>
    <t>Bangkok Transfer - Phimai</t>
  </si>
  <si>
    <t>charter | Comfort Car 3pax</t>
  </si>
  <si>
    <t>charter | Luxury SUV 4pax</t>
  </si>
  <si>
    <t>charter | Luxury VIP Van 9pax</t>
  </si>
  <si>
    <t>Bangkok Transfer - Pattaya Town</t>
  </si>
  <si>
    <t>Thailand, Phu Sa Dok Bua National Park</t>
  </si>
  <si>
    <t>Bangkok - Phu Sa Dok Bua National Park</t>
  </si>
  <si>
    <t>Don Mueang International Airport - Phuket Airport</t>
  </si>
  <si>
    <t>Khaosan The Twin 2000 Samsen Rd - Phuket Bus Terminal 2</t>
  </si>
  <si>
    <t>Thailand, Rayong</t>
  </si>
  <si>
    <t>Don Mueang International Airport - Utapao Airport</t>
  </si>
  <si>
    <t>Thailand, Surat Thani Train Station</t>
  </si>
  <si>
    <t>Krung Thep Aphiwat Central Terminal Station - Surat Thani Train Station</t>
  </si>
  <si>
    <t>train | Class II Sleeper AC</t>
  </si>
  <si>
    <t>Khaosan The Twin 2000 Samsen Rd - Trang</t>
  </si>
  <si>
    <t>Chiang Mai - Huay Xai</t>
  </si>
  <si>
    <t>van | Van + Shuttle</t>
  </si>
  <si>
    <t>Chiang Mai - Luang Prabang</t>
  </si>
  <si>
    <t>van | Van + Shuttle + Sleeping Bus</t>
  </si>
  <si>
    <t>Chiang Mai Airport - Don Mueang International Airport</t>
  </si>
  <si>
    <t>Chiang Mai Transfer - Chiang Rai Bus Terminal 2</t>
  </si>
  <si>
    <t>Chiang Mai Transfer - Sukhothai Hotel Transfer</t>
  </si>
  <si>
    <t>Chiang Rai - Huay Xai</t>
  </si>
  <si>
    <t>Chiang Rai - Luang Prabang</t>
  </si>
  <si>
    <t>Chiang Rai Airport - Don Mueang International Airport</t>
  </si>
  <si>
    <t>Thailand, Don Mueang Airport</t>
  </si>
  <si>
    <t>Thailand, Donsak</t>
  </si>
  <si>
    <t>Don Mueang Airport - Donsak Piers</t>
  </si>
  <si>
    <t>charter | Economy 3pax</t>
  </si>
  <si>
    <t>Don Mueang Airport - Koh Chang Transfer</t>
  </si>
  <si>
    <t>Donsak Piers - Don Mueang Airport</t>
  </si>
  <si>
    <t>Donsak Piers - Pattaya Hotel Transfer</t>
  </si>
  <si>
    <t>Thailand, Suvarnabhumi Airport</t>
  </si>
  <si>
    <t>Donsak Piers - Suvarnabhumi Airport</t>
  </si>
  <si>
    <t>Hat Yai Bus Terminal - Ao Nang Transfer</t>
  </si>
  <si>
    <t>bus | Bus VIP 32 + Van</t>
  </si>
  <si>
    <t>Hat Yai Hotel Transfer - Donsak Piers</t>
  </si>
  <si>
    <t>Hua Hin Hotel Transfer - Ao Nang Transfer except Krabi Town and Railay</t>
  </si>
  <si>
    <t>Hua Hin Airport - Don Mueang International Airport</t>
  </si>
  <si>
    <t>Hua Hin Hotel Transfer - Khao Lak Transfer</t>
  </si>
  <si>
    <t>Hua Hin Hotel Transfer - Koh Lanta Hotel Transfer</t>
  </si>
  <si>
    <t>Hua Hin Hotel Transfer - Krabi Town Hotel Transfer</t>
  </si>
  <si>
    <t>Thailand, Ranong</t>
  </si>
  <si>
    <t>Hua Hin Hotel Transfer - Ranong Hotel Transfer</t>
  </si>
  <si>
    <t>Thailand, Surat Thani</t>
  </si>
  <si>
    <t>Hua Hin Hotel Transfer - Ratchaprapha Dam Hotel Transfer</t>
  </si>
  <si>
    <t>Hua Hin Hotel Transfer - Surat Thani Airport</t>
  </si>
  <si>
    <t>Hua Hin Hotel Transfer - Surat Thani Town Transfer</t>
  </si>
  <si>
    <t>Thailand, Kanchanaburi</t>
  </si>
  <si>
    <t>Thailand, Prachuap Khiri Khan</t>
  </si>
  <si>
    <t>Kanchanaburi Hotel Transfer - Sam Roi Yot</t>
  </si>
  <si>
    <t>Thailand, Chumphon</t>
  </si>
  <si>
    <t>Khao Lak Transfer - Chumphon Hotel Transfer</t>
  </si>
  <si>
    <t>charter | EV Class 3pax</t>
  </si>
  <si>
    <t>Khao Lak Transfer - Donsak Hotel Transfer</t>
  </si>
  <si>
    <t>Khao Lak Transfer - Khao Sok Hotel Transfer</t>
  </si>
  <si>
    <t>Khao Lak Transfer - Koh Lanta Transfer</t>
  </si>
  <si>
    <t>Khao Lak Transfer - Krabi with Klong Muang Ao Nang Airport and Town</t>
  </si>
  <si>
    <t>Thailand, Phang Nga</t>
  </si>
  <si>
    <t>Khao Lak Center - Takua Pa Bus Terminal</t>
  </si>
  <si>
    <t>Khao Lak Transfer - Phang Nga Hotel Transfer</t>
  </si>
  <si>
    <t>Opposite Khao Lak Center - Khokkloy</t>
  </si>
  <si>
    <t>Opposite Khao Lak Center - Phuket Bus Terminal 1</t>
  </si>
  <si>
    <t>Khao Lak Transfer - Trang with Pakmeng and Sikhao</t>
  </si>
  <si>
    <t>Khao Sok Hotel Transfer - Ao Nang Hotel Transfer</t>
  </si>
  <si>
    <t>SP Feel Good Offce - Khao Lak Nang Thong Center</t>
  </si>
  <si>
    <t>Khao Sok Van Station - Thong Sala</t>
  </si>
  <si>
    <t>van | Van + Van + Ferry</t>
  </si>
  <si>
    <t>Khao Sok Van Station - Lipa Noi Koh Samui</t>
  </si>
  <si>
    <t>Khao Sok Hotel Transfer - Krabi Transport</t>
  </si>
  <si>
    <t>SP Feel Good Offce - Kamala Beach Transfer</t>
  </si>
  <si>
    <t>SP Feel Good Offce - Kata Karon Transfer</t>
  </si>
  <si>
    <t>SP Feel Good Offce - Nai Yang beach</t>
  </si>
  <si>
    <t>SP Feel Good Offce - Patong Hotel Transfer</t>
  </si>
  <si>
    <t>SP Feel Good Offce - Phuket Airport</t>
  </si>
  <si>
    <t>SP Feel Good Offce - Phuket Bus Terminal 1</t>
  </si>
  <si>
    <t>SP Feel Good Offce - Phuket Bus Terminal 2</t>
  </si>
  <si>
    <t>SP Feel Good Offce - Phuket Town Transfer</t>
  </si>
  <si>
    <t>SP Feel Good Offce - Surin Beach</t>
  </si>
  <si>
    <t>Thailand, Railay</t>
  </si>
  <si>
    <t>Khao Sok Hotel Transfer - Floating Pier East Railay</t>
  </si>
  <si>
    <t>van | Van + Longtail Boat</t>
  </si>
  <si>
    <t>Khao Sok Van Station - Nara Travel Office</t>
  </si>
  <si>
    <t>Thailand, Khuan Don</t>
  </si>
  <si>
    <t>Wang Prachan Customs House - Surat Thani Airport</t>
  </si>
  <si>
    <t>Wang Prachan Customs House - Surat Thani Town Transfer</t>
  </si>
  <si>
    <t>Koh Chang Ao Sapparot - Siem Reap</t>
  </si>
  <si>
    <t>Koh Chang Transfer - Siem Reap</t>
  </si>
  <si>
    <t>Koh Chang Hotel Transfer - Suvarnabhumi Airport</t>
  </si>
  <si>
    <t>Koh Kood Airfield - Don Mueang International Airport</t>
  </si>
  <si>
    <t>Koh Kood Transfer - Khao San Seudamgo</t>
  </si>
  <si>
    <t>ferry | Taxi + Catamaran + Van</t>
  </si>
  <si>
    <t>Koh Kood Transfer - Suvarnabhumi Airport Bangkok</t>
  </si>
  <si>
    <t>Koh Kood Transfer - The Nine Center Rama 9 Hua Mak</t>
  </si>
  <si>
    <t>Koh Lanta Hotel Transfer - Ao Nang Hotel Transfer</t>
  </si>
  <si>
    <t>Koh Lanta Hotel Transfer - Khao Sok Bus Stop</t>
  </si>
  <si>
    <t>Koh Lanta Hotel Transfer - Thong Sala</t>
  </si>
  <si>
    <t>Koh Lanta Transfer - Thong Sala Koh Phangan</t>
  </si>
  <si>
    <t>ferry | Taxi + Bus + Speedboat</t>
  </si>
  <si>
    <t>van | Taxi + Minibus + Ferry</t>
  </si>
  <si>
    <t>Koh Lanta Hotel Transfer - Na Thon Seatran Ferry Pier</t>
  </si>
  <si>
    <t>Koh Lanta Transfer - Na Thon Pier</t>
  </si>
  <si>
    <t>ferry | Taxi + Van + Catamaran</t>
  </si>
  <si>
    <t>Koh Lanta Transfer - Mae Haad Koh Tao</t>
  </si>
  <si>
    <t>Thailand, Koh Yao Noi</t>
  </si>
  <si>
    <t>Koh Lanta Hotel Transfer - Manoh Pier Koh Yao Noi</t>
  </si>
  <si>
    <t>Thailand, Koh Yao Yai</t>
  </si>
  <si>
    <t>Koh Lanta Hotel Transfer - Chong Lard Pier Koh Yao Yai</t>
  </si>
  <si>
    <t>Koh Lanta Hotel Transfer - Klong Muang Transfer</t>
  </si>
  <si>
    <t>Koh Lanta Hotel Transfer - Krabi Town Hotel Transfer</t>
  </si>
  <si>
    <t>Koh Lanta Transfer - Krabi Immigration office</t>
  </si>
  <si>
    <t>Thailand, Surat Thani Bus Terminal</t>
  </si>
  <si>
    <t>Koh Lanta Transfer - Surat Thani Bus Terminal</t>
  </si>
  <si>
    <t>van | Taxi + Minibus</t>
  </si>
  <si>
    <t>Thailand, Koh Lipe</t>
  </si>
  <si>
    <t>Malaysia, Langkawi</t>
  </si>
  <si>
    <t>Bundhaya Beach Koh Lipe - Kuah Jetty Langkawi</t>
  </si>
  <si>
    <t>Thailand, Koh Muk</t>
  </si>
  <si>
    <t>Thailand, Koh Ngai</t>
  </si>
  <si>
    <t>Koh Muk Pier - Koh Ngai Transfer</t>
  </si>
  <si>
    <t>Koh Ngai Transfer - Koh Muk Pier</t>
  </si>
  <si>
    <t>Lomprayah Office Koh Phangan - Khao Sok Van Station</t>
  </si>
  <si>
    <t>van | High Speed Ferry + Van</t>
  </si>
  <si>
    <t>Koh Phangan Lomprayah Office - Koh Lanta</t>
  </si>
  <si>
    <t>ferry | Speedboat + Van</t>
  </si>
  <si>
    <t>Koh Phangan Lomprayah Office - Ton Sai Pier Koh Phi Phi</t>
  </si>
  <si>
    <t>ferry | Speedboat + Bus/Van + Speedboat</t>
  </si>
  <si>
    <t>Koh Phangan Lomprayah Office - Lomprayah Bangrak Pier</t>
  </si>
  <si>
    <t>Koh Phangan Lomprayah Office - Maenam Pier</t>
  </si>
  <si>
    <t>Koh Phangan Lomprayah Office - Maenam Samui</t>
  </si>
  <si>
    <t>Koh Phangan Lomprayah Office - Mae Haad Koh Tao</t>
  </si>
  <si>
    <t>Koh Phangan Lomprayah Office - Krabi Lomprayah Office</t>
  </si>
  <si>
    <t>ferry | Speedboat + Bus/Van</t>
  </si>
  <si>
    <t>Koh Phangan Lomprayah Office - Railay West</t>
  </si>
  <si>
    <t>ferry | Speedboat + Bus/Van + Longtail Boat</t>
  </si>
  <si>
    <t>Koh Phangan Lomprayah Office - Surat Thani Train Station</t>
  </si>
  <si>
    <t>Koh Phangan Lomprayah Office - Tapee pier Lomprayah</t>
  </si>
  <si>
    <t>Thailand, Surat Thani Airport</t>
  </si>
  <si>
    <t>Koh Phangan Lomprayah Office - Surat Thani Airport</t>
  </si>
  <si>
    <t>ferry | Speedboat + Express Bus</t>
  </si>
  <si>
    <t>Thailand, Koh Phayam</t>
  </si>
  <si>
    <t>Koh Phayam - Southern Terminal Bangkok</t>
  </si>
  <si>
    <t>ferry | Speedboat + Van + Bus</t>
  </si>
  <si>
    <t>ferry | Speedboat + Van + VIP24</t>
  </si>
  <si>
    <t>ferry | Speedboat + Van + VIP32</t>
  </si>
  <si>
    <t>Ton Sai Pier Koh Phi Phi - Ao Nang Transfer except Krabi Town and Railay</t>
  </si>
  <si>
    <t>Ton Sai Pier Koh Phi Phi - Wangsai Pier</t>
  </si>
  <si>
    <t>Koh Phi Phi Ton Sai Pier - Khao Sok Bus Stop</t>
  </si>
  <si>
    <t>Koh Phi Phi Ton Sai Pier - Thong Sala</t>
  </si>
  <si>
    <t>Koh Phi Phi Ton Sai Pier - Na Thon Seatran Ferry Pier</t>
  </si>
  <si>
    <t>Laem Tong Beach Koh Phi Phi - Klong Jilad Pier Krabi</t>
  </si>
  <si>
    <t>Ton Sai Pier Koh Phi Phi - Klong Jilad Pier Krabi</t>
  </si>
  <si>
    <t>Ton Sai Pier Koh Phi Phi - Phuket Town Transfer</t>
  </si>
  <si>
    <t>ferry | Ferry + Bus</t>
  </si>
  <si>
    <t>Ton Sai Pier Koh Phi Phi - Floating Pier East Railay</t>
  </si>
  <si>
    <t>Samui Airport - Don Mueang International Airport</t>
  </si>
  <si>
    <t>Lomprayah Nathon Pier - Khao Sok Van Station</t>
  </si>
  <si>
    <t>Maenam Pier - Koh Lanta</t>
  </si>
  <si>
    <t>Lomprayah Bangrak Pier - Koh Phangan Lomprayah Office</t>
  </si>
  <si>
    <t>Maenam Pier - Koh Phangan Lomprayah Office</t>
  </si>
  <si>
    <t>Maenam Samui - Koh Phangan Lomprayah Office</t>
  </si>
  <si>
    <t>Maenam Pier - Ton Sai Pier Koh Phi Phi</t>
  </si>
  <si>
    <t>Lomprayah Bangrak Pier - Mae Haad Koh Tao</t>
  </si>
  <si>
    <t>Maenam Pier - Mae Haad Koh Tao</t>
  </si>
  <si>
    <t>Koh Samui Transfer - Krabi Hotel Transfer</t>
  </si>
  <si>
    <t>ferry | Taxi + Ferry + Taxi</t>
  </si>
  <si>
    <t>Maenam Pier - Krabi Lomprayah Office</t>
  </si>
  <si>
    <t>Maenam Pier - Railay West</t>
  </si>
  <si>
    <t>Maenam Pier - Surat Thani Train Station</t>
  </si>
  <si>
    <t>Maenam Pier - Tapee pier Lomprayah</t>
  </si>
  <si>
    <t>Maenam Pier - Surat Thani Airport</t>
  </si>
  <si>
    <t>Mae Haad Koh Tao - Koh Lanta</t>
  </si>
  <si>
    <t>Mae Haad Koh Tao - Koh Phangan Lomprayah Office</t>
  </si>
  <si>
    <t>Mae Haad Koh Tao - Ton Sai Pier Koh Phi Phi</t>
  </si>
  <si>
    <t>Mae Haad Koh Tao - Maenam Pier</t>
  </si>
  <si>
    <t>Mae Haad Koh Tao - Krabi Lomprayah Office</t>
  </si>
  <si>
    <t>Mae Haad Koh Tao - Railay West</t>
  </si>
  <si>
    <t>Mae Haad Koh Tao - Surat Thani Train Station</t>
  </si>
  <si>
    <t>Mae Haad Koh Tao - Tapee pier Lomprayah</t>
  </si>
  <si>
    <t>Mae Haad Koh Tao - Surat Thani Airport</t>
  </si>
  <si>
    <t>Krabi - Khaosan The Twin 2000 Samsen Rd</t>
  </si>
  <si>
    <t>Ao Nang Transfer - Koh Ngai</t>
  </si>
  <si>
    <t>van | Van + Van + Longtail boat</t>
  </si>
  <si>
    <t>Krabi Lomprayah Office - Koh Phangan Lomprayah Office</t>
  </si>
  <si>
    <t>bus | Bus/Van + Speedboat</t>
  </si>
  <si>
    <t>Klong Jilad Pier Krabi - Laem Tong Beach Koh Phi Phi</t>
  </si>
  <si>
    <t>Klong Jilad Pier Krabi - Ton Sai Pier Koh Phi Phi</t>
  </si>
  <si>
    <t>Krabi Lomprayah Office - Maenam Pier</t>
  </si>
  <si>
    <t>Krabi Lomprayah Office - Mae Haad Koh Tao</t>
  </si>
  <si>
    <t>Krabi Airport - Krabi Hotel Transfer</t>
  </si>
  <si>
    <t>Ao Nam Mao Pier - Klong Jilad Pier Krabi</t>
  </si>
  <si>
    <t>Krabi Hotel Transfer - Railay Beach</t>
  </si>
  <si>
    <t>van | Taxi + Speedboat</t>
  </si>
  <si>
    <t>Thailand, Rassada Pier</t>
  </si>
  <si>
    <t>Klong Jilad Pier Krabi - Rassada Pier</t>
  </si>
  <si>
    <t>Ao Nam Mao pier - Banphrao Pier</t>
  </si>
  <si>
    <t>Ao Nang Transfer - Banphrao Pier</t>
  </si>
  <si>
    <t>Krabi Town Transfer - Banphrao Pier</t>
  </si>
  <si>
    <t>Thailand, Lampang</t>
  </si>
  <si>
    <t>Lampang Hotel Transfer - Sukhothai Hotel Transfer</t>
  </si>
  <si>
    <t>Thailand, Naka Island</t>
  </si>
  <si>
    <t>Naka Island - Pattaya</t>
  </si>
  <si>
    <t>Naka Island - Rayong</t>
  </si>
  <si>
    <t>Phimai - Bangkok Transfer</t>
  </si>
  <si>
    <t>Phimai - Pattaya Transfer</t>
  </si>
  <si>
    <t>Nong Khai Hotel Transfer - Bangkok Transfer</t>
  </si>
  <si>
    <t>Nong Khai Hotel Transfer - Khon Kaen Hotel Transfer</t>
  </si>
  <si>
    <t>Nong Khai Hotel Transfer - Nakhon Ratchasima Hotel Transfer</t>
  </si>
  <si>
    <t>Pattaya Hotel Transfer - Donsak Piers</t>
  </si>
  <si>
    <t>Pattaya Transfer - Phimai</t>
  </si>
  <si>
    <t>Opposite Khokkloy Bus Terminal - Khao Lak Center</t>
  </si>
  <si>
    <t>Takua Pa Bus Terminal - Opposite Khao Lak Center</t>
  </si>
  <si>
    <t>Opposite Khokkloy Bus Terminal - Takua Pa Bus Terminal</t>
  </si>
  <si>
    <t>Takua Pa Bus Terminal - Khokkloy</t>
  </si>
  <si>
    <t>Khokkloy - Phuket Bus Terminal 1</t>
  </si>
  <si>
    <t>Takua Pa Bus Terminal - Phuket Bus Terminal 1</t>
  </si>
  <si>
    <t>Phuket Bus Terminal 2 - Ao Nang Transfer</t>
  </si>
  <si>
    <t>Phuket Airport - Don Mueang International Airport</t>
  </si>
  <si>
    <t>Phuket Transfer - Bangkok Transfer</t>
  </si>
  <si>
    <t>Thailand, Chalong</t>
  </si>
  <si>
    <t>Phuket International Airport - Chalong Hotel Transfer</t>
  </si>
  <si>
    <t>Phuket Transfer - Chumphon Hotel Transfer</t>
  </si>
  <si>
    <t>Phuket Transfer - Donsak Pier except Ferry to Samui</t>
  </si>
  <si>
    <t>Phuket Transfer - Hat Yai Hotel Transfer</t>
  </si>
  <si>
    <t>Thailand, Karon</t>
  </si>
  <si>
    <t>Phuket International Airport - Karon Beach</t>
  </si>
  <si>
    <t>Phuket Bus Terminal 1 - Khao Lak Center</t>
  </si>
  <si>
    <t>Phuket Hotel Transfer - Khaolak except Bang Sak Bang Muang and Takua Pa</t>
  </si>
  <si>
    <t>Phuket Hotel Transfer - Khaolak with Bang Sak Bang Muang and Takua Pa</t>
  </si>
  <si>
    <t>Phuket International Airport - Khaolak except Bang Sak Bang Muang and Takua Pa</t>
  </si>
  <si>
    <t>Phuket Sanooker Bus Terminal 1 - Khao Lak Nang Thong Center</t>
  </si>
  <si>
    <t>Samyak Phuket Airport - Khao Lak Nang Thong Center</t>
  </si>
  <si>
    <t>Phuket Sanooker Bus Terminal 1 - Khao Sok</t>
  </si>
  <si>
    <t>Phuket Sanooker Bus Terminal 1 - Khao Sok Transfer</t>
  </si>
  <si>
    <t>bus | Bus + Van</t>
  </si>
  <si>
    <t>Phuket Transfer - Khao Sok Hotel Transfer</t>
  </si>
  <si>
    <t>Samyak Phuket Airport - Khao Sok</t>
  </si>
  <si>
    <t>Samyak Phuket Airport - Khao Sok Transfer</t>
  </si>
  <si>
    <t>Phuket Transfer - Koh Lanta Hotel Transfer</t>
  </si>
  <si>
    <t>Phuket Airport - Ton Sai Pier Koh Phi Phi</t>
  </si>
  <si>
    <t>Phuket Airport - Pimalai Jetty</t>
  </si>
  <si>
    <t>Phuket Hotel Transfer - Krabi Hotel Transfer</t>
  </si>
  <si>
    <t>Phuket International Airport - Krabi Hotel Transfer</t>
  </si>
  <si>
    <t>Phuket Town Transfer - Krabi Hotel Transfer</t>
  </si>
  <si>
    <t>van | Van VIP 9pax</t>
  </si>
  <si>
    <t>Phuket Bus Terminal 1 - Opposite Khokkloy Bus Terminal</t>
  </si>
  <si>
    <t>Phuket Bus Terminal 1 - Takua Pa Bus Terminal</t>
  </si>
  <si>
    <t>Phuket Sanooker Bus Terminal 1 - Takua Pa Bus Terminal</t>
  </si>
  <si>
    <t>Samyak Phuket Airport - Takua Pa Bus Terminal</t>
  </si>
  <si>
    <t>Phuket International Airport - Ao Makham</t>
  </si>
  <si>
    <t>Phuket International Airport - Ao Por</t>
  </si>
  <si>
    <t>Phuket International Airport - Bang Tao Beach</t>
  </si>
  <si>
    <t>Phuket International Airport - Boat Lagoon Pier Phuket</t>
  </si>
  <si>
    <t>Phuket International Airport - Kamala</t>
  </si>
  <si>
    <t>Phuket International Airport - Kata Beach</t>
  </si>
  <si>
    <t>Phuket International Airport - Koh Siray</t>
  </si>
  <si>
    <t>Phuket International Airport - Laguna Phuket</t>
  </si>
  <si>
    <t>Phuket International Airport - Layan Beach</t>
  </si>
  <si>
    <t>Phuket International Airport - Mai Khao</t>
  </si>
  <si>
    <t>Phuket International Airport - Nai Harn Beach Phuket</t>
  </si>
  <si>
    <t>Phuket International Airport - Naithon Beach</t>
  </si>
  <si>
    <t>Phuket International Airport - Naiyang Beach Hotel Transfer</t>
  </si>
  <si>
    <t>Phuket International Airport - Panwa Cape Phuket</t>
  </si>
  <si>
    <t>Phuket International Airport - Patong Beach Phuket</t>
  </si>
  <si>
    <t>Phuket International Airport - Phuket Town Transfer</t>
  </si>
  <si>
    <t>Phuket International Airport - Promthep Cape</t>
  </si>
  <si>
    <t>Phuket International Airport - Rawai Beach Phuket</t>
  </si>
  <si>
    <t>Phuket International Airport - Surin Beach</t>
  </si>
  <si>
    <t>Phuket Transfer - Ranong Hotel Transfer</t>
  </si>
  <si>
    <t>Thailand, Satun</t>
  </si>
  <si>
    <t>Patong Transfer - Pak Bara Pier</t>
  </si>
  <si>
    <t>Phuket Transfer - Satun Hotel Transfer</t>
  </si>
  <si>
    <t>Phuket Transfer - Surat Thani</t>
  </si>
  <si>
    <t>Phuket Transfer - Trang with Pakmeng and Sikhao</t>
  </si>
  <si>
    <t>Sam Roi Yot - Kanchanaburi Hotel Transfer</t>
  </si>
  <si>
    <t>Floating Pier East Railay - Ton Sai Pier Koh Phi Phi</t>
  </si>
  <si>
    <t>Rangsit - Thanaleng</t>
  </si>
  <si>
    <t>Ranong Town Transfer - Surat Thani Airport</t>
  </si>
  <si>
    <t>Ranong Town Transfer - Surat Thani Town Transfer</t>
  </si>
  <si>
    <t>Rassada Pier - Klong Jilad Pier Krabi</t>
  </si>
  <si>
    <t>Utapao Airport - Don Mueang International Airport</t>
  </si>
  <si>
    <t>Pak Bara Pier - Surat Thani Airport</t>
  </si>
  <si>
    <t>Pak Bara Pier - Surat Thani Town Transfer</t>
  </si>
  <si>
    <t>Tammalang Pier - Surat Thani Airport</t>
  </si>
  <si>
    <t>Tammalang Pier - Surat Thani Town Transfer</t>
  </si>
  <si>
    <t>Padang Besar Immigration Thailand Side - Surat Thani Airport</t>
  </si>
  <si>
    <t>Padang Besar Immigration Thailand Side - Surat Thani Town Transfer</t>
  </si>
  <si>
    <t>Sadao Border - Surat Thani Airport</t>
  </si>
  <si>
    <t>Sadao Border - Surat Thani Town Transfer</t>
  </si>
  <si>
    <t>Sukhothai Hotel Transfer - Ayutthaya Hotel Transfer</t>
  </si>
  <si>
    <t>Sukhothai Hotel Transfer - Chiang Mai Transfer</t>
  </si>
  <si>
    <t>Sukhothai Hotel Transfer - Lampang Hotel Transfer</t>
  </si>
  <si>
    <t>Surat Thani - Khaosan The Twin 2000 Samsen Rd</t>
  </si>
  <si>
    <t>Nara Travel Office - Khao Sok Van Station</t>
  </si>
  <si>
    <t>Surat Thani Train Station - Koh Phangan Lomprayah Office</t>
  </si>
  <si>
    <t>Tapee pier Lomprayah - Koh Phangan Lomprayah Office</t>
  </si>
  <si>
    <t>Surat Thani Train Station - Maenam Pier</t>
  </si>
  <si>
    <t>Tapee pier Lomprayah - Maenam Pier</t>
  </si>
  <si>
    <t>Surat Thani Train Station - Mae Haad Koh Tao</t>
  </si>
  <si>
    <t>Tapee pier Lomprayah - Mae Haad Koh Tao</t>
  </si>
  <si>
    <t>Surat Thani Town Transfer - Trang Hotel Transfer</t>
  </si>
  <si>
    <t>Surat Thani Airport - Koh Phangan Lomprayah Office</t>
  </si>
  <si>
    <t>Surat Thani Airport - Maenam Pier</t>
  </si>
  <si>
    <t>Surat Thani Airport - Mae Haad Koh Tao</t>
  </si>
  <si>
    <t>Thailand, Doi Khun Tan National Park</t>
  </si>
  <si>
    <t>Suvarnabhumi Airport - Doi Khun Tan National Park</t>
  </si>
  <si>
    <t>Suvarnabhumi Airport - Donsak Piers</t>
  </si>
  <si>
    <t>Suvarnabhumi Airport - Koh Chang Transfer</t>
  </si>
  <si>
    <t>Thailand, Trat</t>
  </si>
  <si>
    <t>Suvarnabhumi Airport - Ao Thammachat pier</t>
  </si>
  <si>
    <t>Suvarnabhumi Airport - Laem Sok Pier</t>
  </si>
  <si>
    <t>Khuan Tung Ku Pier - Surat Thani Airport</t>
  </si>
  <si>
    <t>Khuan Tung Ku Pier - Surat Thani Town Transfer</t>
  </si>
  <si>
    <t>Pak Meng Pier - Surat Thani Airport</t>
  </si>
  <si>
    <t>Trang Hotel Transfer - Surat Thani Town Transfer</t>
  </si>
  <si>
    <t>Ao Thamachat Pier - Ekkamai</t>
  </si>
  <si>
    <t>Laem Sok Pier - Pattaya Town</t>
  </si>
  <si>
    <t>Laem Sok Pier - Suvarnabhumi Airport</t>
  </si>
  <si>
    <t>Turkey, Akyarlar</t>
  </si>
  <si>
    <t>Turkey, Bodrum</t>
  </si>
  <si>
    <t>Akyarlar Hotel Transfer - Bodrum Milas Airport</t>
  </si>
  <si>
    <t>charter | Van 14pax</t>
  </si>
  <si>
    <t>charter | Van 6pax</t>
  </si>
  <si>
    <t>Turkey, Alacati</t>
  </si>
  <si>
    <t>Turkey, Izmir</t>
  </si>
  <si>
    <t>Alacati Hotel Transfer - Adnan Menderes Airport</t>
  </si>
  <si>
    <t>Turkey, Alanya</t>
  </si>
  <si>
    <t>Alanya Hotel Transfer - Gazipasa Alanya Airport</t>
  </si>
  <si>
    <t>Gazipasa Alanya Airport - Alanya Hotel Transfer</t>
  </si>
  <si>
    <t>Turkey, Avsallar</t>
  </si>
  <si>
    <t>Gazipasa Alanya Airport - Avsallar Hotel Transfer</t>
  </si>
  <si>
    <t>Turkey, Cenger</t>
  </si>
  <si>
    <t>Gazipasa Alanya Airport - Cenger Hotel Transfer</t>
  </si>
  <si>
    <t>Turkey, Incekum</t>
  </si>
  <si>
    <t>Gazipasa Alanya Airport - Incekum Hotel Transfer</t>
  </si>
  <si>
    <t>Turkey, Kargicak</t>
  </si>
  <si>
    <t>Gazipasa Alanya Airport - Kargicak Hotel Transfer</t>
  </si>
  <si>
    <t>Turkey, Kestel</t>
  </si>
  <si>
    <t>Gazipasa Alanya Airport - Kestel Hotel Transfer</t>
  </si>
  <si>
    <t>Turkey, Kizilagac</t>
  </si>
  <si>
    <t>Gazipasa Alanya Airport - Kizilagac Hotel Transfer</t>
  </si>
  <si>
    <t>Turkey, Kizilot</t>
  </si>
  <si>
    <t>Gazipasa Alanya Airport - Kizilot Hotel Transfer</t>
  </si>
  <si>
    <t>Turkey, Konakli</t>
  </si>
  <si>
    <t>Gazipasa Alanya Airport - Konakli Hotel Transfer</t>
  </si>
  <si>
    <t>Turkey, Mahmutlar</t>
  </si>
  <si>
    <t>Gazipasa Alanya Airport - Mahmutlar Hotel Transfer</t>
  </si>
  <si>
    <t>Turkey, Oba</t>
  </si>
  <si>
    <t>Gazipasa Alanya Airport - Oba Hotel Transfer</t>
  </si>
  <si>
    <t>Turkey, Okurcalar</t>
  </si>
  <si>
    <t>Gazipasa Alanya Airport - Okurcalar Hotel Transfer</t>
  </si>
  <si>
    <t>Turkey, Orensehir</t>
  </si>
  <si>
    <t>Gazipasa Alanya Airport - Orensehir Hotel Transfer</t>
  </si>
  <si>
    <t>Turkey, Payallar</t>
  </si>
  <si>
    <t>Gazipasa Alanya Airport - Payallar Hotel Transfer</t>
  </si>
  <si>
    <t>Turkey, Side</t>
  </si>
  <si>
    <t>Gazipasa Alanya Airport - Side Hotel Transfer</t>
  </si>
  <si>
    <t>Turkey, Tosmur</t>
  </si>
  <si>
    <t>Gazipasa Alanya Airport - Tosmur Hotel Transfer</t>
  </si>
  <si>
    <t>Turkey, Turkler</t>
  </si>
  <si>
    <t>Gazipasa Alanya Airport - Turkler Hotel Transfer</t>
  </si>
  <si>
    <t>Turkey, Aliaga</t>
  </si>
  <si>
    <t>Aliaga Hotel Transfer - Adnan Menderes Airport</t>
  </si>
  <si>
    <t>Turkey, Antalya</t>
  </si>
  <si>
    <t>Antalya Airport - Cenger Hotel Transfer</t>
  </si>
  <si>
    <t>Antalya Airport - Incekum Hotel Transfer</t>
  </si>
  <si>
    <t>Antalya Airport - Kargicak Hotel Transfer</t>
  </si>
  <si>
    <t>Antalya Airport - Kestel Hotel Transfer</t>
  </si>
  <si>
    <t>Antalya Airport - Konakli Hotel Transfer</t>
  </si>
  <si>
    <t>Antalya Airport - Mahmutlar Hotel Transfer</t>
  </si>
  <si>
    <t>Turkey, Manavgat</t>
  </si>
  <si>
    <t>Antalya Airport - Sorgun Hotel Transfer</t>
  </si>
  <si>
    <t>Antalya Airport - Orensehir Hotel Transfer</t>
  </si>
  <si>
    <t>Antalya Airport - Payallar Hotel Transfer</t>
  </si>
  <si>
    <t>Antalya Airport - Tosmur Hotel Transfer</t>
  </si>
  <si>
    <t>Avsallar Hotel Transfer - Gazipasa Alanya Airport</t>
  </si>
  <si>
    <t>Turkey, Aydin</t>
  </si>
  <si>
    <t>Aydin Hotel Transfer - Adnan Menderes Airport</t>
  </si>
  <si>
    <t>Turkey, Ayvalik</t>
  </si>
  <si>
    <t>Ayvalik Hotel Transfer - Adnan Menderes Airport</t>
  </si>
  <si>
    <t>Turkey, Bademli</t>
  </si>
  <si>
    <t>Bademli Hotel Transfer - Adnan Menderes Airport</t>
  </si>
  <si>
    <t>Turkey, Balikesir</t>
  </si>
  <si>
    <t>Balikesir Hotel Transfer - Adnan Menderes Airport</t>
  </si>
  <si>
    <t>Turkey, Balikliova</t>
  </si>
  <si>
    <t>Balikliova Hotel Transfer - Adnan Menderes Airport</t>
  </si>
  <si>
    <t>Turkey, Bergama</t>
  </si>
  <si>
    <t>Bergama Hotel Transfer - Adnan Menderes Airport</t>
  </si>
  <si>
    <t>Turkey, Bitez</t>
  </si>
  <si>
    <t>Bitez Hotel Transfer - Bodrum Milas Airport</t>
  </si>
  <si>
    <t>Bodrum Milas Airport - Akyarlar Hotel Transfer</t>
  </si>
  <si>
    <t>Bodrum Milas Airport - Bitez Hotel Transfer</t>
  </si>
  <si>
    <t>Bodrum Hotel Transfer - Bodrum Milas Airport</t>
  </si>
  <si>
    <t>Bodrum Milas Airport - Bodrum Hotel Transfer</t>
  </si>
  <si>
    <t>Bodrum Milas Airport - Turkbuku Hotel Transfer</t>
  </si>
  <si>
    <t>Bodrum Milas Airport - Yahsi Hotel Transfer</t>
  </si>
  <si>
    <t>Turkbuku Hotel Transfer - Bodrum Milas Airport</t>
  </si>
  <si>
    <t>Yahsi Hotel Transfer - Bodrum Milas Airport</t>
  </si>
  <si>
    <t>Turkey, Dalaman</t>
  </si>
  <si>
    <t>Bodrum Hotel Transfer - Dalaman Airport</t>
  </si>
  <si>
    <t>Turkey, Didim</t>
  </si>
  <si>
    <t>Bodrum Milas Airport - Didim Hotel Transfer</t>
  </si>
  <si>
    <t>Turkey, Gumbet</t>
  </si>
  <si>
    <t>Bodrum Milas Airport - Gumbet Hotel Transfer</t>
  </si>
  <si>
    <t>Turkey, Gumusluk</t>
  </si>
  <si>
    <t>Bodrum Milas Airport - Gumusluk Hotel Transfer</t>
  </si>
  <si>
    <t>Turkey, Gundogan</t>
  </si>
  <si>
    <t>Bodrum Milas Airport - Gundogan Hotel Transfer</t>
  </si>
  <si>
    <t>Turkey, Guvercinlik</t>
  </si>
  <si>
    <t>Bodrum Milas Airport - Guvercinlik Hotel Transfer</t>
  </si>
  <si>
    <t>Turkey, Marmaris</t>
  </si>
  <si>
    <t>Bodrum Milas Airport - Marmaris Hotel Transfer</t>
  </si>
  <si>
    <t>Turkey, Milas</t>
  </si>
  <si>
    <t>Bodrum Milas Airport - Adabuku Hotel Transfer</t>
  </si>
  <si>
    <t>Bodrum Milas Airport - Kaplankaya Hotel Transfer</t>
  </si>
  <si>
    <t>Turkey, Torba</t>
  </si>
  <si>
    <t>Bodrum Milas Airport - Torba Hotel Transfer</t>
  </si>
  <si>
    <t>Turkey, Turgutkoy</t>
  </si>
  <si>
    <t>Bodrum Milas Airport - Turgutkoy Hotel Transfer</t>
  </si>
  <si>
    <t>Turkey, Turgutreis</t>
  </si>
  <si>
    <t>Bodrum Milas Airport - Turgutreis Hotel Transfer</t>
  </si>
  <si>
    <t>Turkey, Yalikavak</t>
  </si>
  <si>
    <t>Bodrum Milas Airport - Yalikavak Hotel Transfer</t>
  </si>
  <si>
    <t>Turkey, Burhaniye</t>
  </si>
  <si>
    <t>Burhaniye Hotel Transfer - Adnan Menderes Airport</t>
  </si>
  <si>
    <t>Turkey, Candarli</t>
  </si>
  <si>
    <t>Candarli Hotel Transfer - Adnan Menderes Airport</t>
  </si>
  <si>
    <t>Cenger Hotel Transfer - Gazipasa Alanya Airport</t>
  </si>
  <si>
    <t>Cenger Hotel Transfer - Antalya Airport</t>
  </si>
  <si>
    <t>Turkey, Cesme</t>
  </si>
  <si>
    <t>Cesme Hotel Transfer - Adnan Menderes Airport</t>
  </si>
  <si>
    <t>Dalaman Airport - Bodrum Hotel Transfer</t>
  </si>
  <si>
    <t>Turkey, Ortaca</t>
  </si>
  <si>
    <t>Dalaman Airport - Ortaca Hotel Transfer</t>
  </si>
  <si>
    <t>Turkey, Dalyan</t>
  </si>
  <si>
    <t>Dalyan Hotel Transfer - Adnan Menderes Airport</t>
  </si>
  <si>
    <t>Turkey, Davutlar</t>
  </si>
  <si>
    <t>Davutlar Hotel Transfer - Adnan Menderes Airport</t>
  </si>
  <si>
    <t>Didim Hotel Transfer - Bodrum Milas Airport</t>
  </si>
  <si>
    <t>Didim Hotel Transfer - Adnan Menderes Airport</t>
  </si>
  <si>
    <t>Turkey, Dikili</t>
  </si>
  <si>
    <t>Dikili Hotel Transfer - Adnan Menderes Airport</t>
  </si>
  <si>
    <t>Turkey, Edremit</t>
  </si>
  <si>
    <t>Edremit Hotel Transfer - Adnan Menderes Airport</t>
  </si>
  <si>
    <t>Turkey, Fethiye</t>
  </si>
  <si>
    <t>Ciftlik Hotel Transfer - Adnan Menderes Airport</t>
  </si>
  <si>
    <t>Turkey, Foca</t>
  </si>
  <si>
    <t>Foca Hotel Transfer - Adnan Menderes Airport</t>
  </si>
  <si>
    <t>Gumbet Hotel Transfer - Bodrum Milas Airport</t>
  </si>
  <si>
    <t>Turkey, Gumuldur</t>
  </si>
  <si>
    <t>Gumuldur Hotel Transfer - Adnan Menderes Airport</t>
  </si>
  <si>
    <t>Gumusluk Hotel Transfer - Bodrum Milas Airport</t>
  </si>
  <si>
    <t>Gundogan Hotel Transfer - Bodrum Milas Airport</t>
  </si>
  <si>
    <t>Guvercinlik Hotel Transfer - Bodrum Milas Airport</t>
  </si>
  <si>
    <t>Turkey, Guzelcamli</t>
  </si>
  <si>
    <t>Guzelcamli Hotel Transfer - Adnan Menderes Airport</t>
  </si>
  <si>
    <t>Turkey, Ildir</t>
  </si>
  <si>
    <t>Ildir Hotel Transfer - Adnan Menderes Airport</t>
  </si>
  <si>
    <t>Incekum Hotel Transfer - Gazipasa Alanya Airport</t>
  </si>
  <si>
    <t>Incekum Hotel Transfer - Antalya Airport</t>
  </si>
  <si>
    <t>Adnan Menderes Airport - Alacati Hotel Transfer</t>
  </si>
  <si>
    <t>Adnan Menderes Airport - Aliaga Hotel Transfer</t>
  </si>
  <si>
    <t>Adnan Menderes Airport - Aydin Hotel Transfer</t>
  </si>
  <si>
    <t>Adnan Menderes Airport - Ayvalik Hotel Transfer</t>
  </si>
  <si>
    <t>Adnan Menderes Airport - Bademli Hotel Transfer</t>
  </si>
  <si>
    <t>Adnan Menderes Airport - Balikesir Hotel Transfer</t>
  </si>
  <si>
    <t>Adnan Menderes Airport - Balikliova Hotel Transfer</t>
  </si>
  <si>
    <t>Adnan Menderes Airport - Bergama Hotel Transfer</t>
  </si>
  <si>
    <t>Adnan Menderes Airport - Burhaniye Hotel Transfer</t>
  </si>
  <si>
    <t>Adnan Menderes Airport - Candarli Hotel Transfer</t>
  </si>
  <si>
    <t>Adnan Menderes Airport - Cesme Hotel Transfer</t>
  </si>
  <si>
    <t>Adnan Menderes Airport - Dalyan Hotel Transfer</t>
  </si>
  <si>
    <t>Adnan Menderes Airport - Davutlar Hotel Transfer</t>
  </si>
  <si>
    <t>Adnan Menderes Airport - Didim Hotel Transfer</t>
  </si>
  <si>
    <t>Adnan Menderes Airport - Dikili Hotel Transfer</t>
  </si>
  <si>
    <t>Adnan Menderes Airport - Edremit Hotel Transfer</t>
  </si>
  <si>
    <t>Adnan Menderes Airport - Ciftlik Hotel Transfer</t>
  </si>
  <si>
    <t>Adnan Menderes Airport - Foca Hotel Transfer</t>
  </si>
  <si>
    <t>Adnan Menderes Airport - Gumuldur Hotel Transfer</t>
  </si>
  <si>
    <t>Adnan Menderes Airport - Guzelcamli Hotel Transfer</t>
  </si>
  <si>
    <t>Adnan Menderes Airport - Ildir Hotel Transfer</t>
  </si>
  <si>
    <t>Adnan Menderes Airport - Alsancak Hotel Transfer</t>
  </si>
  <si>
    <t>Adnan Menderes Airport - Balcova Hotel Transfer</t>
  </si>
  <si>
    <t>Adnan Menderes Airport - Bayrakli Hotel Transfer</t>
  </si>
  <si>
    <t>Adnan Menderes Airport - Bornova Hotel Transfer</t>
  </si>
  <si>
    <t>Adnan Menderes Airport - Bostanli Hotel Transfer</t>
  </si>
  <si>
    <t>Adnan Menderes Airport - Guzelbahce Hotel Transfer</t>
  </si>
  <si>
    <t>Adnan Menderes Airport - Izmir Hotel Transfer</t>
  </si>
  <si>
    <t>Adnan Menderes Airport - Karsiyaka Hotel Transfer</t>
  </si>
  <si>
    <t>Adnan Menderes Airport - Kemalpasa Hotel Transfer</t>
  </si>
  <si>
    <t>Adnan Menderes Airport - Konak Hotel Transfer</t>
  </si>
  <si>
    <t>Adnan Menderes Airport - Mavisehir Hotel Transfer</t>
  </si>
  <si>
    <t>Adnan Menderes Airport - Menemen Hotel Transfer</t>
  </si>
  <si>
    <t>Adnan Menderes Airport - Narlidere Hotel Transfer</t>
  </si>
  <si>
    <t>Adnan Menderes Airport - Sasali Hotel Transfer</t>
  </si>
  <si>
    <t>Adnan Menderes Airport - Ulukent Hotel Transfer</t>
  </si>
  <si>
    <t>Alsancak Hotel Transfer - Adnan Menderes Airport</t>
  </si>
  <si>
    <t>Balcova Hotel Transfer - Adnan Menderes Airport</t>
  </si>
  <si>
    <t>Bayrakli Hotel Transfer - Adnan Menderes Airport</t>
  </si>
  <si>
    <t>Bornova Hotel Transfer - Adnan Menderes Airport</t>
  </si>
  <si>
    <t>Bostanli Hotel Transfer - Adnan Menderes Airport</t>
  </si>
  <si>
    <t>Guzelbahce Hotel Transfer - Adnan Menderes Airport</t>
  </si>
  <si>
    <t>Izmir Hotel Transfer - Adnan Menderes Airport</t>
  </si>
  <si>
    <t>Karsiyaka Hotel Transfer - Adnan Menderes Airport</t>
  </si>
  <si>
    <t>Kemalpasa Hotel Transfer - Adnan Menderes Airport</t>
  </si>
  <si>
    <t>Konak Hotel Transfer - Adnan Menderes Airport</t>
  </si>
  <si>
    <t>Mavisehir Hotel Transfer - Adnan Menderes Airport</t>
  </si>
  <si>
    <t>Menemen Hotel Transfer - Adnan Menderes Airport</t>
  </si>
  <si>
    <t>Narlidere Hotel Transfer - Adnan Menderes Airport</t>
  </si>
  <si>
    <t>Sasali Hotel Transfer - Adnan Menderes Airport</t>
  </si>
  <si>
    <t>Ulukent Hotel Transfer - Adnan Menderes Airport</t>
  </si>
  <si>
    <t>Turkey, Karaburun</t>
  </si>
  <si>
    <t>Adnan Menderes Airport - Karaburun Hotel Transfer</t>
  </si>
  <si>
    <t>Turkey, Kusadasi</t>
  </si>
  <si>
    <t>Adnan Menderes Airport - Kusadasi Hotel Transfer</t>
  </si>
  <si>
    <t>Turkey, Mugla</t>
  </si>
  <si>
    <t>Adnan Menderes Airport - Mugla Hotel Transfer</t>
  </si>
  <si>
    <t>Turkey, Ozdere</t>
  </si>
  <si>
    <t>Adnan Menderes Airport - Ozdere Hotel Transfer</t>
  </si>
  <si>
    <t>Turkey, Seferihisar</t>
  </si>
  <si>
    <t>Adnan Menderes Airport - Seferihisar Hotel Transfer</t>
  </si>
  <si>
    <t>Turkey, Selcuk</t>
  </si>
  <si>
    <t>Adnan Menderes Airport - Selcuk Hotel Transfer</t>
  </si>
  <si>
    <t>Turkey, Sigacik</t>
  </si>
  <si>
    <t>Adnan Menderes Airport - Sigacik Hotel Transfer</t>
  </si>
  <si>
    <t>Turkey, Soke</t>
  </si>
  <si>
    <t>Adnan Menderes Airport - Soke Hotel Transfer</t>
  </si>
  <si>
    <t>Turkey, Urla</t>
  </si>
  <si>
    <t>Adnan Menderes Airport - Urla Hotel Transfer</t>
  </si>
  <si>
    <t>Karaburun Hotel Transfer - Adnan Menderes Airport</t>
  </si>
  <si>
    <t>Kargicak Hotel Transfer - Gazipasa Alanya Airport</t>
  </si>
  <si>
    <t>Kargicak Hotel Transfer - Antalya Airport</t>
  </si>
  <si>
    <t>Kestel Hotel Transfer - Gazipasa Alanya Airport</t>
  </si>
  <si>
    <t>Kestel Hotel Transfer - Antalya Airport</t>
  </si>
  <si>
    <t>Kizilagac Hotel Transfer - Gazipasa Alanya Airport</t>
  </si>
  <si>
    <t>Kizilot Hotel Transfer - Gazipasa Alanya Airport</t>
  </si>
  <si>
    <t>Konakli Hotel Transfer - Gazipasa Alanya Airport</t>
  </si>
  <si>
    <t>Konakli Hotel Transfer - Antalya Airport</t>
  </si>
  <si>
    <t>Kusadasi Hotel Transfer - Adnan Menderes Airport</t>
  </si>
  <si>
    <t>Mahmutlar Hotel Transfer - Gazipasa Alanya Airport</t>
  </si>
  <si>
    <t>Mahmutlar Hotel Transfer - Antalya Airport</t>
  </si>
  <si>
    <t>Sorgun Hotel Transfer - Antalya Airport</t>
  </si>
  <si>
    <t>Marmaris Hotel Transfer - Bodrum Milas Airport</t>
  </si>
  <si>
    <t>Adabuku Hotel Transfer - Bodrum Milas Airport</t>
  </si>
  <si>
    <t>Kaplankaya Hotel Transfer - Bodrum Milas Airport</t>
  </si>
  <si>
    <t>Mugla Hotel Transfer - Adnan Menderes Airport</t>
  </si>
  <si>
    <t>Oba Hotel Transfer - Gazipasa Alanya Airport</t>
  </si>
  <si>
    <t>Okurcalar Hotel Transfer - Gazipasa Alanya Airport</t>
  </si>
  <si>
    <t>Orensehir Hotel Transfer - Gazipasa Alanya Airport</t>
  </si>
  <si>
    <t>Orensehir Hotel Transfer - Antalya Airport</t>
  </si>
  <si>
    <t>Ortaca Hotel Transfer - Dalaman Airport</t>
  </si>
  <si>
    <t>Ozdere Hotel Transfer - Adnan Menderes Airport</t>
  </si>
  <si>
    <t>Payallar Hotel Transfer - Gazipasa Alanya Airport</t>
  </si>
  <si>
    <t>Payallar Hotel Transfer - Antalya Airport</t>
  </si>
  <si>
    <t>Seferihisar Hotel Transfer - Adnan Menderes Airport</t>
  </si>
  <si>
    <t>Selcuk Hotel Transfer - Adnan Menderes Airport</t>
  </si>
  <si>
    <t>Side Hotel Transfer - Gazipasa Alanya Airport</t>
  </si>
  <si>
    <t>Sigacik Hotel Transfer - Adnan Menderes Airport</t>
  </si>
  <si>
    <t>Soke Hotel Transfer - Adnan Menderes Airport</t>
  </si>
  <si>
    <t>Torba Hotel Transfer - Bodrum Milas Airport</t>
  </si>
  <si>
    <t>Tosmur Hotel Transfer - Gazipasa Alanya Airport</t>
  </si>
  <si>
    <t>Tosmur Hotel Transfer - Antalya Airport</t>
  </si>
  <si>
    <t>Turgutkoy Hotel Transfer - Bodrum Milas Airport</t>
  </si>
  <si>
    <t>Turgutreis Hotel Transfer - Bodrum Milas Airport</t>
  </si>
  <si>
    <t>Turkler Hotel Transfer - Gazipasa Alanya Airport</t>
  </si>
  <si>
    <t>Urla Hotel Transfer - Adnan Menderes Airport</t>
  </si>
  <si>
    <t>Yalikavak Hotel Transfer - Bodrum Milas Airport</t>
  </si>
  <si>
    <t>United Arab Emirates, Dubai</t>
  </si>
  <si>
    <t>Saudi Arabia, Khamis Mushayt</t>
  </si>
  <si>
    <t>Dubai - Khamis Mushayt</t>
  </si>
  <si>
    <t>Lebanon, Baabda</t>
  </si>
  <si>
    <t>Dubai Airport - Baabda</t>
  </si>
  <si>
    <t>Lebanon, Beirut</t>
  </si>
  <si>
    <t>Dubai Airport - Beirut</t>
  </si>
  <si>
    <t>Lebanon, Nabatieh</t>
  </si>
  <si>
    <t>Dubai Airport - Nabatieh</t>
  </si>
  <si>
    <t>Lebanon, Saida</t>
  </si>
  <si>
    <t>Dubai Airport - Saida</t>
  </si>
  <si>
    <t>Lebanon, Zahle</t>
  </si>
  <si>
    <t>Dubai Airport - Zahle</t>
  </si>
  <si>
    <t>Saudi Arabia, Al Ahsa</t>
  </si>
  <si>
    <t>Dubai Airport - Al Ahsa</t>
  </si>
  <si>
    <t>Saudi Arabia, Al Hofuf</t>
  </si>
  <si>
    <t>Dubai Airport - Al Hofuf</t>
  </si>
  <si>
    <t>Saudi Arabia, Al Mubarraz</t>
  </si>
  <si>
    <t>Dubai Airport - Al Mubarraz</t>
  </si>
  <si>
    <t>Saudi Arabia, Tabuk</t>
  </si>
  <si>
    <t>Dubai Airport - Tabuk</t>
  </si>
  <si>
    <t>USA, Amherst</t>
  </si>
  <si>
    <t>Amherst - Moncton</t>
  </si>
  <si>
    <t>Vietnam, Binh Dinh</t>
  </si>
  <si>
    <t>Vietnam, Bien Hoa</t>
  </si>
  <si>
    <t>Bong Son - Bien Hoa</t>
  </si>
  <si>
    <t>Vietnam, Binh Thuan</t>
  </si>
  <si>
    <t>Vietnam, Da Lat</t>
  </si>
  <si>
    <t>Hoang Ngoc Resort - Da Lat Bus Station</t>
  </si>
  <si>
    <t>bus | Sleeper 36</t>
  </si>
  <si>
    <t>Lotus Village Resort - Da Lat Bus Station</t>
  </si>
  <si>
    <t>Phan Thiet North Bus Station - Da Lat Bus Station</t>
  </si>
  <si>
    <t>Vietnam, Phu Yen</t>
  </si>
  <si>
    <t>Suoi Kiet - Tuy Hoa</t>
  </si>
  <si>
    <t>Can Tho - Ho Chi Minh city centre</t>
  </si>
  <si>
    <t>Da Lat Bus Station - Hoang Ngoc Resort</t>
  </si>
  <si>
    <t>Da Lat Bus Station - Lotus Village Resort</t>
  </si>
  <si>
    <t>Da Lat Bus Station - Phan Thiet North Bus Station</t>
  </si>
  <si>
    <t>Vietnam, Mui Ne</t>
  </si>
  <si>
    <t>Da Lat Bus Station - Apec Mandala Chambay</t>
  </si>
  <si>
    <t>Da Lat Bus Station - Centara Mirage Resort</t>
  </si>
  <si>
    <t>Da Lat Bus Station - Pandanus Resort</t>
  </si>
  <si>
    <t>Da Lat Bus Station - The Anam</t>
  </si>
  <si>
    <t>Da Lat Bus Station - The Cliff Resort</t>
  </si>
  <si>
    <t>Vietnam, Da Nang</t>
  </si>
  <si>
    <t>Da Nang - Vientiane Southern Bus Station</t>
  </si>
  <si>
    <t>bus | Sleeper Bus</t>
  </si>
  <si>
    <t>Vietnam, Hanoi</t>
  </si>
  <si>
    <t>217 Ho Nghinh - 16 Hang Chinh Hanoi</t>
  </si>
  <si>
    <t>bus | VIP 22 Double Cabin</t>
  </si>
  <si>
    <t>bus | VIP 22 Single Cabin</t>
  </si>
  <si>
    <t>3 Thang 2 street - 208 Tran Quang Khai</t>
  </si>
  <si>
    <t>bus | Cabin 22</t>
  </si>
  <si>
    <t>Danang To Vietnam - 200 Tran Quang Khai</t>
  </si>
  <si>
    <t>Vietnam, Hue</t>
  </si>
  <si>
    <t>3 Thang 2 street - 7 Doi Cung Hue</t>
  </si>
  <si>
    <t>Danang To Vietnam - 7 Doi Cung Hue</t>
  </si>
  <si>
    <t>Vietnam, Ninh Binh</t>
  </si>
  <si>
    <t>217 Ho Nghinh - Dong Gung Bus Station</t>
  </si>
  <si>
    <t>3 Thang 2 street - 46 July 27 Street</t>
  </si>
  <si>
    <t>Danang To Vietnam - Seven Coffee</t>
  </si>
  <si>
    <t>Vietnam, Phong Nha</t>
  </si>
  <si>
    <t>112 Nam Tran - Thien Phu Hostel</t>
  </si>
  <si>
    <t>3 Thang 2 street - Central Backpackers Hostel Phong Nha</t>
  </si>
  <si>
    <t>79 Nguyen Tuong Pho - Central Backpackers Hostel Phong Nha</t>
  </si>
  <si>
    <t>bus | Cabin 24</t>
  </si>
  <si>
    <t>Danang To Vietnam - Central Backpackers Hostel Phong Nha</t>
  </si>
  <si>
    <t>Vietnam, Quang Binh</t>
  </si>
  <si>
    <t>120 Nam Tran - Dong Hoi</t>
  </si>
  <si>
    <t>bus | VIP 22 Sleeper</t>
  </si>
  <si>
    <t>Vietnam, Quang Tri</t>
  </si>
  <si>
    <t>79 Nguyen Tuong Pho - 187 Le Duan</t>
  </si>
  <si>
    <t>Vietnam, Dao Cat Ba</t>
  </si>
  <si>
    <t>Vietnam, Cao Bang</t>
  </si>
  <si>
    <t>243 Nui Ngoc - 132 Duong Hien Giang</t>
  </si>
  <si>
    <t>bus | VIP 18 + VIP 11</t>
  </si>
  <si>
    <t>bus | VIP 18 + VIP 22</t>
  </si>
  <si>
    <t>243 Nui Ngoc - 90 Hoang Thi Loan</t>
  </si>
  <si>
    <t>bus | Tourist AC + VIP 22</t>
  </si>
  <si>
    <t>Vietnam, Dong Hoi</t>
  </si>
  <si>
    <t>243 Nui Ngoc - 122 Ha Huy Tap</t>
  </si>
  <si>
    <t>Vietnam, Ha Giang</t>
  </si>
  <si>
    <t>243 Nui Ngoc - Ha Giang City Hostel</t>
  </si>
  <si>
    <t>243 Nui Ngoc - 20 Hang Muoi</t>
  </si>
  <si>
    <t>bus | VIP 18</t>
  </si>
  <si>
    <t>Vietnam, Hoa Binh</t>
  </si>
  <si>
    <t>243 Nui Ngoc - Little Mai Chau Homestay</t>
  </si>
  <si>
    <t>bus | Tourist AC</t>
  </si>
  <si>
    <t>Vietnam, Hoi An</t>
  </si>
  <si>
    <t>243 Nui Ngoc - Pool Side Villa</t>
  </si>
  <si>
    <t>243 Nui Ngoc - 26 Nguyen Hue</t>
  </si>
  <si>
    <t>243 Nui Ngoc - Tam Coc Boat Station</t>
  </si>
  <si>
    <t>243 Nui Ngoc - Phong Nha Midtown Hotel</t>
  </si>
  <si>
    <t>Vietnam, Sapa</t>
  </si>
  <si>
    <t>243 Nui Ngoc - Sapa Garden Bungalow</t>
  </si>
  <si>
    <t>Vietnam, Thanh Hoa</t>
  </si>
  <si>
    <t>243 Nui Ngoc - Pu Luong Homestay</t>
  </si>
  <si>
    <t>Ha Giang - Hanoi City Center Transfer</t>
  </si>
  <si>
    <t>charter | SUV 3pax</t>
  </si>
  <si>
    <t>charter | Van 11pax</t>
  </si>
  <si>
    <t>Ha Tien Town - Sihanoukville</t>
  </si>
  <si>
    <t>van | Van 16pax</t>
  </si>
  <si>
    <t>Ha Tien - Ho Chi Minh</t>
  </si>
  <si>
    <t>Vietnam, Hai Phong</t>
  </si>
  <si>
    <t>Cat Ba SOL Beach - Trang An Luxury Homestay</t>
  </si>
  <si>
    <t>Vietnam, Quang Ninh</t>
  </si>
  <si>
    <t>Cat Ba Huyen Beo - Coffee Cherry</t>
  </si>
  <si>
    <t>bus | Minivan 16</t>
  </si>
  <si>
    <t>Cat Ba Huyen Beo - Sky Station</t>
  </si>
  <si>
    <t>111 Hang Dao - Danang To Vietnam</t>
  </si>
  <si>
    <t>208 Tran Quang Khai - 3 Thang 2 street</t>
  </si>
  <si>
    <t>20 Hang Muoi - 243 Nui Ngoc</t>
  </si>
  <si>
    <t>111 Hang Dao - 105 Ton Duc Thang</t>
  </si>
  <si>
    <t>208 Tran Quang Khai - 105 Ton Duc Thang</t>
  </si>
  <si>
    <t>111 Hang Dao - 7 Doi Cung Hue</t>
  </si>
  <si>
    <t>208 Tran Quang Khai - 7 Doi Cung Hue</t>
  </si>
  <si>
    <t>Vietnam, Lao Cai</t>
  </si>
  <si>
    <t>Hanoi - Sapa Lao Cai</t>
  </si>
  <si>
    <t>train | Deluxe Cabin 4x</t>
  </si>
  <si>
    <t>111 Hang Dao - Central Backpackers Hostel Phong Nha</t>
  </si>
  <si>
    <t>208 Tran Quang Khai - Central Backpackers Hostel Phong Nha</t>
  </si>
  <si>
    <t>Hanoi Opera House - 239 Nguyen Van Cu Ha Long</t>
  </si>
  <si>
    <t>bus | Limousine 11</t>
  </si>
  <si>
    <t>bus | Limousine 9</t>
  </si>
  <si>
    <t>Hanoi Phuc Xuyen Office - 239 Nguyen Van Cu Ha Long</t>
  </si>
  <si>
    <t>Ho Chi Minh - Can Tho</t>
  </si>
  <si>
    <t>charter | Minibus 13pax</t>
  </si>
  <si>
    <t>Ho Chi Minh city centre - Can Tho</t>
  </si>
  <si>
    <t>Ho Chi Minh - Mui Ne</t>
  </si>
  <si>
    <t>Ho Chi Minh city centre - Mui Ne</t>
  </si>
  <si>
    <t>Vietnam, Vung Tau</t>
  </si>
  <si>
    <t>Ho Chi Minh city centre - Ho Tram Beach</t>
  </si>
  <si>
    <t>Mac Thanh Honstay - 90 Hoang Thi Loan</t>
  </si>
  <si>
    <t>Mac Thanh Honstay - 122 Ha Huy Tap</t>
  </si>
  <si>
    <t>Mac Thanh Honstay - Pool Side Villa</t>
  </si>
  <si>
    <t>Mac Thanh Honstay - 26 Nguyen Hue</t>
  </si>
  <si>
    <t>Mac Thanh Honstay - Tam Coc Boat Station</t>
  </si>
  <si>
    <t>bus | Express 16</t>
  </si>
  <si>
    <t>Mac Thanh Honstay - Phong Nha Midtown Hotel</t>
  </si>
  <si>
    <t>Malaysia, Bandar Sunway</t>
  </si>
  <si>
    <t>Hoi An - Bandar Sunway</t>
  </si>
  <si>
    <t>Malaysia, KLIA</t>
  </si>
  <si>
    <t>Hoi An - Klia</t>
  </si>
  <si>
    <t>Malaysia, KLIA II</t>
  </si>
  <si>
    <t>Hoi An - Klia Ii</t>
  </si>
  <si>
    <t>Malaysia, Kuala Lumpur Airport</t>
  </si>
  <si>
    <t>Hoi An - Kuala Lumpur Airport</t>
  </si>
  <si>
    <t>Hoi An - Kuala Lumpur Sentral</t>
  </si>
  <si>
    <t>Malaysia, Seremban</t>
  </si>
  <si>
    <t>Hoi An - Seremban</t>
  </si>
  <si>
    <t>Viet Nam Travel Bus Hoi An - Da Nang City</t>
  </si>
  <si>
    <t>charter | Van + Private Speedboat 4 pax</t>
  </si>
  <si>
    <t>Viet Nam Travel Bus Hoi An - Thanh Khe District</t>
  </si>
  <si>
    <t>105 Ton Duc Thang - 200 Tran Quang Khai</t>
  </si>
  <si>
    <t>105 Ton Duc Thang - 208 Tran Quang Khai</t>
  </si>
  <si>
    <t>105 Ton Duc Thang - 59 Bui Thi Xuan</t>
  </si>
  <si>
    <t>105 Ton Duc Thang - 7 Doi Cung Hue</t>
  </si>
  <si>
    <t>105 Ton Duc Thang - Hue 45 Le Loi street</t>
  </si>
  <si>
    <t>bus | VIP 15 pax</t>
  </si>
  <si>
    <t>105 Ton Duc Thang - Hue Train Station</t>
  </si>
  <si>
    <t>105 Ton Duc Thang - Vincom Plaza Hue</t>
  </si>
  <si>
    <t>Viet Nam Travel Bus Hoi An - Hue 45 Le Loi street</t>
  </si>
  <si>
    <t>Viet Nam Travel Bus Hoi An - Vincom Plaza Hue</t>
  </si>
  <si>
    <t>105 Ton Duc Thang - 46 July 27 Street</t>
  </si>
  <si>
    <t>105 Ton Duc Thang - Seven Coffee</t>
  </si>
  <si>
    <t>105 Ton Duc Thang - Central Backpackers Hostel Phong Nha</t>
  </si>
  <si>
    <t>105 Ton Duc Thang - Thien Phu Hostel</t>
  </si>
  <si>
    <t>105 Ton Duc Thang - TP Booking Office</t>
  </si>
  <si>
    <t>105 Ton Duc Thang - Dong Hoi</t>
  </si>
  <si>
    <t>7 Doi Cung Hue - 3 Thang 2 street</t>
  </si>
  <si>
    <t>7 Doi Cung Hue - Danang To Vietnam</t>
  </si>
  <si>
    <t>7 Doi Cung Hue - 200 Tran Quang Khai</t>
  </si>
  <si>
    <t>7 Doi Cung Hue - 208 Tran Quang Khai</t>
  </si>
  <si>
    <t>78 Tran Quang Khai - 16 Hang Chinh Hanoi</t>
  </si>
  <si>
    <t>59 Bui Thi Xuan - 105 Ton Duc Thang</t>
  </si>
  <si>
    <t>7 Doi Cung Hue - 105 Ton Duc Thang</t>
  </si>
  <si>
    <t>Hue 45 Le Loi street - 105 Ton Duc Thang</t>
  </si>
  <si>
    <t>Hue 45 Le Loi street - Viet Nam Travel Bus Hoi An</t>
  </si>
  <si>
    <t>Vincom Plaza Hue - 105 Ton Duc Thang</t>
  </si>
  <si>
    <t>Vincom Plaza Hue - Viet Nam Travel Bus Hoi An</t>
  </si>
  <si>
    <t>7 Doi Cung Hue - 46 July 27 Street</t>
  </si>
  <si>
    <t>7 Doi Cung Hue - Seven Coffee</t>
  </si>
  <si>
    <t>59 Bui Thi Xuan - Thien Phu Hostel</t>
  </si>
  <si>
    <t>60 Le Loi - Thien Phu Hostel</t>
  </si>
  <si>
    <t>bus | Seater</t>
  </si>
  <si>
    <t>7 Doi Cung Hue - Central Backpackers Hostel Phong Nha</t>
  </si>
  <si>
    <t>78 Tran Quang Khai - Central Backpackers Hostel Phong Nha</t>
  </si>
  <si>
    <t>Hue Train Station - Central Backpackers Hostel Phong Nha</t>
  </si>
  <si>
    <t>Vietnam, Quang Nam</t>
  </si>
  <si>
    <t>38 Le Loi - Hoi An Water Puppet Show</t>
  </si>
  <si>
    <t>van | Minivan 15</t>
  </si>
  <si>
    <t>78 Tran Quang Khai - Tung Luxury Hotel Ha Long</t>
  </si>
  <si>
    <t>Sapa Lao Cai - Hanoi</t>
  </si>
  <si>
    <t>Vietnam, Noi Bai Airport</t>
  </si>
  <si>
    <t>Bac Ha Bus Station - Hanoi Airport</t>
  </si>
  <si>
    <t>bus | Sleeper</t>
  </si>
  <si>
    <t>Bac Ha Bus Station - 239 Nguyen Van Cu Ha Long</t>
  </si>
  <si>
    <t>Bac Ha Bus Station - Bai Chay Bus Station</t>
  </si>
  <si>
    <t>Bac Ha Bus Station - Cai Rong Bus Station</t>
  </si>
  <si>
    <t>Apec Mandala Chambay - Da Lat Bus Station</t>
  </si>
  <si>
    <t>Centara Mirage Resort - Da Lat Bus Station</t>
  </si>
  <si>
    <t>Mui Ne - Da Lat</t>
  </si>
  <si>
    <t>Mui Ne - Da Lat Airport</t>
  </si>
  <si>
    <t>Pandanus Resort - Da Lat Bus Station</t>
  </si>
  <si>
    <t>The Anam - Da Lat Bus Station</t>
  </si>
  <si>
    <t>The Cliff Resort - Da Lat Bus Station</t>
  </si>
  <si>
    <t>Mui Ne - Ho Chi Minh</t>
  </si>
  <si>
    <t>Mui Ne - Ho Chi Minh city centre</t>
  </si>
  <si>
    <t>Mui Ne - Quang Binh</t>
  </si>
  <si>
    <t>Vietnam, Nghe An</t>
  </si>
  <si>
    <t>Vietnam, Tam Coc</t>
  </si>
  <si>
    <t>Nghe An - Tam Coc</t>
  </si>
  <si>
    <t>Vietnam, Nha Trang</t>
  </si>
  <si>
    <t>Nha Trang City Hotel Transfer - Ho Chi Minh City Center</t>
  </si>
  <si>
    <t>46 July 27 Street - 3 Thang 2 street</t>
  </si>
  <si>
    <t>Dong Gung Bus Station - 217 Ho Nghinh</t>
  </si>
  <si>
    <t>Mikes Travel Agency - Da Nang Central Bus Station</t>
  </si>
  <si>
    <t>bus | VIP Cabin</t>
  </si>
  <si>
    <t>Seven Coffee - Danang To Vietnam</t>
  </si>
  <si>
    <t>Trang An Luxury Homestay - 243 Nui Ngoc</t>
  </si>
  <si>
    <t>Mikes Travel Agency - Hai Phong city center</t>
  </si>
  <si>
    <t>bus | Van + VIP 9</t>
  </si>
  <si>
    <t>46 July 27 Street - 105 Ton Duc Thang</t>
  </si>
  <si>
    <t>Dong Gung Bus Station - Pool Side Villa</t>
  </si>
  <si>
    <t>Seven Coffee - 105 Ton Duc Thang</t>
  </si>
  <si>
    <t>46 July 27 Street - 7 Doi Cung Hue</t>
  </si>
  <si>
    <t>Seven Coffee - 2 Lam Hoang</t>
  </si>
  <si>
    <t>46 July 27 Street - Central Backpackers Hostel Phong Nha</t>
  </si>
  <si>
    <t>Dong Gung Bus Station - Central Backpackers Hostel Phong Nha</t>
  </si>
  <si>
    <t>Seven Coffee - Central Backpackers Hostel Phong Nha</t>
  </si>
  <si>
    <t>Hanoi Airport - 239 Nguyen Van Cu Ha Long</t>
  </si>
  <si>
    <t>bus | Limousine</t>
  </si>
  <si>
    <t>Central Backpackers Hostel Phong Nha - 217 Ho Nghinh</t>
  </si>
  <si>
    <t>Central Backpackers Hostel Phong Nha - 3 Thang 2 street</t>
  </si>
  <si>
    <t>Central Backpackers Hostel Phong Nha - 79 Nguyen Tuong Pho</t>
  </si>
  <si>
    <t>Central Backpackers Hostel Phong Nha - Danang To Vietnam</t>
  </si>
  <si>
    <t>Thien Phu Hostel - Da Nang Central Bus Station</t>
  </si>
  <si>
    <t>TP Booking Office - Da Nang Bus Station</t>
  </si>
  <si>
    <t>Central Backpackers Hostel Phong Nha - 200 Tran Quang Khai</t>
  </si>
  <si>
    <t>Central Backpackers Hostel Phong Nha - 208 Tran Quang Khai</t>
  </si>
  <si>
    <t>Central Backpackers Hostel Phong Nha - 105 Ton Duc Thang</t>
  </si>
  <si>
    <t>Thien Phu Hostel - 105 Ton Duc Thang</t>
  </si>
  <si>
    <t>Thien Phu Hostel - 487 Hai Ba Trung</t>
  </si>
  <si>
    <t>bus | Sleeper 34</t>
  </si>
  <si>
    <t>TP Booking Office - 497 Hai Ba Trung</t>
  </si>
  <si>
    <t>Central Backpackers Hostel Phong Nha - 7 Doi Cung Hue</t>
  </si>
  <si>
    <t>Central Backpackers Hostel Phong Nha - Hue Train Station</t>
  </si>
  <si>
    <t>Thien Phu Hostel - Nguyen Hoang Bus Station</t>
  </si>
  <si>
    <t>TP Booking Office - Hue Railway Station</t>
  </si>
  <si>
    <t>Central Backpackers Hostel Phong Nha - 46 July 27 Street</t>
  </si>
  <si>
    <t>Central Backpackers Hostel Phong Nha - Dong Gung Bus Station</t>
  </si>
  <si>
    <t>Central Backpackers Hostel Phong Nha - Seven Coffee</t>
  </si>
  <si>
    <t>Central Backpackers Hostel Phong Nha - Tung Luxury Hotel Ha Long</t>
  </si>
  <si>
    <t>Central Backpackers Hostel Phong Nha - 187 Le Duan</t>
  </si>
  <si>
    <t>Vietnam, Phu Tho</t>
  </si>
  <si>
    <t>Vietnam, Vinh Phuc</t>
  </si>
  <si>
    <t>Viet Tri - Vinh Yen</t>
  </si>
  <si>
    <t>Tuy Hoa - Vinh</t>
  </si>
  <si>
    <t>Dong Hoi - Da Nang Bus Station</t>
  </si>
  <si>
    <t>Vietnam, Ha Tinh</t>
  </si>
  <si>
    <t>Minh Le - Yen Trung</t>
  </si>
  <si>
    <t>Dong Hoi - 497 Hai Ba Trung</t>
  </si>
  <si>
    <t>Dong Hoi - Hue Railway Station</t>
  </si>
  <si>
    <t>Hoi An Water Puppet Show - 38 Le Loi</t>
  </si>
  <si>
    <t>Vietnam, Quang Ngai</t>
  </si>
  <si>
    <t>Vietnam, Tam Ky</t>
  </si>
  <si>
    <t>Duc Pho - Tam Ky</t>
  </si>
  <si>
    <t>Ha Long Happy Travel Tuan Chau - 90 Hoang Thi Loan</t>
  </si>
  <si>
    <t>bus | VIP11 + VIP22</t>
  </si>
  <si>
    <t>Ha Long Happy Travel Tuan Chau - 122 Ha Huy Tap</t>
  </si>
  <si>
    <t>239 Nguyen Van Cu Ha Long - Hanoi Opera House</t>
  </si>
  <si>
    <t>239 Nguyen Van Cu Ha Long - Hanoi Phuc Xuyen Office</t>
  </si>
  <si>
    <t>Bai Chay Bus Station - Hanoi Opera House</t>
  </si>
  <si>
    <t>Bai Chay Bus Station - Hanoi Phuc Xuyen Office</t>
  </si>
  <si>
    <t>Ha Long Happy Travel Tuan Chau - Little Mai Chau Homestay</t>
  </si>
  <si>
    <t>bus | VIP 11 + Tourist AC</t>
  </si>
  <si>
    <t>Ha Long Happy Travel Tuan Chau - Pool Side Villa</t>
  </si>
  <si>
    <t>Ha Long Happy Travel Tuan Chau - 26 Nguyen Hue</t>
  </si>
  <si>
    <t>239 Nguyen Van Cu Ha Long - 80 Phan Dinh Phung</t>
  </si>
  <si>
    <t>239 Nguyen Van Cu Ha Long - Bac Ha Bus Station</t>
  </si>
  <si>
    <t>Bai Chay Bus Station - 80 Phan Dinh Phung</t>
  </si>
  <si>
    <t>Bai Chay Bus Station - Bac Ha Bus Station</t>
  </si>
  <si>
    <t>Cai Rong Bus Station - 80 Phan Dinh Phung</t>
  </si>
  <si>
    <t>Cai Rong Bus Station - Bac Ha Bus Station</t>
  </si>
  <si>
    <t>Ha Long Railway Station - 80 Phan Dinh Phung</t>
  </si>
  <si>
    <t>Ha Long Railway Station - Bac Ha Bus Station</t>
  </si>
  <si>
    <t>Aqua Of The Seas Cruise - Tam Coc Boat Station</t>
  </si>
  <si>
    <t>239 Nguyen Van Cu Ha Long - Hanoi Airport</t>
  </si>
  <si>
    <t>Bai Chay Bus Station - Hanoi Airport</t>
  </si>
  <si>
    <t>Cai Rong Bus Station - Hanoi Airport</t>
  </si>
  <si>
    <t>Ha Long Railway Station - Hanoi Airport</t>
  </si>
  <si>
    <t>Ha Long Happy Travel Tuan Chau - Phong Nha Midtown Hotel</t>
  </si>
  <si>
    <t>239 Nguyen Van Cu Ha Long - Sapa Bus Station</t>
  </si>
  <si>
    <t>Bai Chay Bus Station - Sapa Bus Station</t>
  </si>
  <si>
    <t>Cai Rong Bus Station - Sapa Bus Station</t>
  </si>
  <si>
    <t>Ha Long Railway Station - Sapa Bus Station</t>
  </si>
  <si>
    <t>Ha Long Happy Travel Tuan Chau - Pu Luong Homestay</t>
  </si>
  <si>
    <t>599 Dien Bien Phu - 100 Tran Phu Ha Giang</t>
  </si>
  <si>
    <t>Sapa Bus Station - Hanoi Airport</t>
  </si>
  <si>
    <t>Sapa Bus Station - 239 Nguyen Van Cu Ha Long</t>
  </si>
  <si>
    <t>Sapa Bus Station - Bai Chay Bus Station</t>
  </si>
  <si>
    <t>Sapa Bus Station - Cai Rong Bus Station</t>
  </si>
  <si>
    <t>The Long Restaurant - 243 Nui Ngoc</t>
  </si>
  <si>
    <t>The Long Restaurant - Little Mai Chau Homestay</t>
  </si>
  <si>
    <t>The Long Restaurant - Aqua Of The Seas Cruise</t>
  </si>
  <si>
    <t>The Long Restaurant - Pu Luong Homestay</t>
  </si>
  <si>
    <t>bus | VIP 11</t>
  </si>
  <si>
    <t>Tam Ky - Minh Le</t>
  </si>
  <si>
    <t>Pu Luong Homestay - 90 Hoang Thi Loan</t>
  </si>
  <si>
    <t>Pu Luong Homestay - 122 Ha Huy Tap</t>
  </si>
  <si>
    <t>Pu Luong Homestay - Pool Side Villa</t>
  </si>
  <si>
    <t>Pu Luong Homestay - 26 Nguyen Hue</t>
  </si>
  <si>
    <t>Pu Luong Homestay - Tam Coc Boat Station</t>
  </si>
  <si>
    <t>Pu Luong Homestay - Phong Nha Midtown Hotel</t>
  </si>
  <si>
    <t>Zambia, Kazungula</t>
  </si>
  <si>
    <t>Zambia, Lusaka</t>
  </si>
  <si>
    <t>Kazungula Transfer - Kenneth Kaunda Airport</t>
  </si>
  <si>
    <t>Kazungula Transfer - Victoria Falls Airport</t>
  </si>
  <si>
    <t>Zambia, Livingstone</t>
  </si>
  <si>
    <t>Livingstone Hotel Transfer - Kenneth Kaunda Airport</t>
  </si>
  <si>
    <t>Livingstone Hotel Transfer - Victoria Falls Airport</t>
  </si>
  <si>
    <t>Kenneth Kaunda Airport - Kazungula Transfer</t>
  </si>
  <si>
    <t>Kenneth Kaunda Airport - Livingstone Hotel Transfer</t>
  </si>
  <si>
    <t>Kenneth Kaunda Airport - Lusaka City Center Transfer</t>
  </si>
  <si>
    <t>Lusaka City Center Transfer - Kenneth Kaunda Airport</t>
  </si>
  <si>
    <t>Zambia, Ndola</t>
  </si>
  <si>
    <t>Kenneth Kaunda Airport - Ndola Transfer</t>
  </si>
  <si>
    <t>Ndola Transfer - Kenneth Kaunda Airport</t>
  </si>
  <si>
    <t>Zimbabwe, Beatrice</t>
  </si>
  <si>
    <t>Beatrice Transfer - Harare Robert Gabriel Mugabe Airport</t>
  </si>
  <si>
    <t>Zimbabwe, Bindura</t>
  </si>
  <si>
    <t>Bindura Transfer - Harare Robert Gabriel Mugabe Airport</t>
  </si>
  <si>
    <t>Zimbabwe, Chegutu</t>
  </si>
  <si>
    <t>Chegutu Transfer - Harare Robert Gabriel Mugabe Airport</t>
  </si>
  <si>
    <t>Zimbabwe, Chinhoyi</t>
  </si>
  <si>
    <t>Chinhoyi Transfer - Harare Robert Gabriel Mugabe Airport</t>
  </si>
  <si>
    <t>Zimbabwe, Chipinge</t>
  </si>
  <si>
    <t>Chipinge Transfer - Harare Robert Gabriel Mugabe Airport</t>
  </si>
  <si>
    <t>Zimbabwe, Chitungwiza</t>
  </si>
  <si>
    <t>Chitungwiza Transfer - Harare Robert Gabriel Mugabe Airport</t>
  </si>
  <si>
    <t>Zimbabwe, Christon Bank</t>
  </si>
  <si>
    <t>Christon Bank Transfer - Harare Robert Gabriel Mugabe Airport</t>
  </si>
  <si>
    <t>Zimbabwe, Darwendale</t>
  </si>
  <si>
    <t>Darwendale Transfer - Harare Robert Gabriel Mugabe Airport</t>
  </si>
  <si>
    <t>Zimbabwe, Domboshava</t>
  </si>
  <si>
    <t>Domboshava Transfer - Harare Robert Gabriel Mugabe Airport</t>
  </si>
  <si>
    <t>Zimbabwe, Goromonzi</t>
  </si>
  <si>
    <t>Goromonzi Transfer - Harare Robert Gabriel Mugabe Airport</t>
  </si>
  <si>
    <t>Zimbabwe, Guruve</t>
  </si>
  <si>
    <t>Guruve Transfer - Harare Robert Gabriel Mugabe Airport</t>
  </si>
  <si>
    <t>Zimbabwe, Gweru</t>
  </si>
  <si>
    <t>Gweru Transfer - Harare Robert Gabriel Mugabe Airport</t>
  </si>
  <si>
    <t>Harare Robert Gabriel Mugabe Airport - Mount Pleasant Transfer</t>
  </si>
  <si>
    <t>Harare Robert Gabriel Mugabe Airport - Beatrice Transfer</t>
  </si>
  <si>
    <t>Harare Robert Gabriel Mugabe Airport - Bindura Transfer</t>
  </si>
  <si>
    <t>Harare Robert Gabriel Mugabe Airport - Chegutu Transfer</t>
  </si>
  <si>
    <t>Harare Robert Gabriel Mugabe Airport - Chinhoyi Transfer</t>
  </si>
  <si>
    <t>Harare Robert Gabriel Mugabe Airport - Chipinge Transfer</t>
  </si>
  <si>
    <t>Harare Robert Gabriel Mugabe Airport - Chitungwiza Transfer</t>
  </si>
  <si>
    <t>Harare Robert Gabriel Mugabe Airport - Christon Bank Transfer</t>
  </si>
  <si>
    <t>Harare Robert Gabriel Mugabe Airport - Darwendale Transfer</t>
  </si>
  <si>
    <t>Harare Robert Gabriel Mugabe Airport - Domboshava Transfer</t>
  </si>
  <si>
    <t>Harare Robert Gabriel Mugabe Airport - Goromonzi Transfer</t>
  </si>
  <si>
    <t>Harare Robert Gabriel Mugabe Airport - Guruve Transfer</t>
  </si>
  <si>
    <t>Harare Robert Gabriel Mugabe Airport - Gweru Transfer</t>
  </si>
  <si>
    <t>Avondale Transfer - Harare Robert Gabriel Mugabe Airport</t>
  </si>
  <si>
    <t>Borrowdale Transfer - Harare Robert Gabriel Mugabe Airport</t>
  </si>
  <si>
    <t>Damofalls Transfer - Harare Robert Gabriel Mugabe Airport</t>
  </si>
  <si>
    <t>Glen Norah Transfer - Harare Robert Gabriel Mugabe Airport</t>
  </si>
  <si>
    <t>Greendale Transfer - Harare Robert Gabriel Mugabe Airport</t>
  </si>
  <si>
    <t>Greystone Park Transfer - Harare Robert Gabriel Mugabe Airport</t>
  </si>
  <si>
    <t>Harare City Center Transfer - Harare Robert Gabriel Mugabe Airport</t>
  </si>
  <si>
    <t>Harare Robert Gabriel Mugabe Airport - Avondale Transfer</t>
  </si>
  <si>
    <t>Harare Robert Gabriel Mugabe Airport - Borrowdale Transfer</t>
  </si>
  <si>
    <t>Harare Robert Gabriel Mugabe Airport - Damofalls Transfer</t>
  </si>
  <si>
    <t>Harare Robert Gabriel Mugabe Airport - Glen Norah Transfer</t>
  </si>
  <si>
    <t>Harare Robert Gabriel Mugabe Airport - Greendale Transfer</t>
  </si>
  <si>
    <t>Harare Robert Gabriel Mugabe Airport - Greystone Park Transfer</t>
  </si>
  <si>
    <t>Harare Robert Gabriel Mugabe Airport - Harare City Center Transfer</t>
  </si>
  <si>
    <t>Harare Robert Gabriel Mugabe Airport - Harare South Transfer</t>
  </si>
  <si>
    <t>Harare Robert Gabriel Mugabe Airport - Highfields Transfer</t>
  </si>
  <si>
    <t>Harare Robert Gabriel Mugabe Airport - Madokero Estates Transfer</t>
  </si>
  <si>
    <t>Harare Robert Gabriel Mugabe Airport - Malbereign Transfer</t>
  </si>
  <si>
    <t>Harare Robert Gabriel Mugabe Airport - Marlborough Transfer</t>
  </si>
  <si>
    <t>Harare Robert Gabriel Mugabe Airport - Mbare Transfer</t>
  </si>
  <si>
    <t>Harare Robert Gabriel Mugabe Airport - Mount Hampden Junction Transfer</t>
  </si>
  <si>
    <t>Harare Robert Gabriel Mugabe Airport - Mufakose Transfer</t>
  </si>
  <si>
    <t>Harare Robert Gabriel Mugabe Airport - Tynwald Transfer</t>
  </si>
  <si>
    <t>Harare Robert Gabriel Mugabe Airport - Warren Park Transfer</t>
  </si>
  <si>
    <t>Harare Robert Gabriel Mugabe Airport - Westgate Transfer</t>
  </si>
  <si>
    <t>Harare South Transfer - Harare Robert Gabriel Mugabe Airport</t>
  </si>
  <si>
    <t>Highfields Transfer - Harare Robert Gabriel Mugabe Airport</t>
  </si>
  <si>
    <t>Madokero Estates Transfer - Harare Robert Gabriel Mugabe Airport</t>
  </si>
  <si>
    <t>Malbereign Transfer - Harare Robert Gabriel Mugabe Airport</t>
  </si>
  <si>
    <t>Marlborough Transfer - Harare Robert Gabriel Mugabe Airport</t>
  </si>
  <si>
    <t>Mbare Transfer - Harare Robert Gabriel Mugabe Airport</t>
  </si>
  <si>
    <t>Mount Hampden Junction Transfer - Harare Robert Gabriel Mugabe Airport</t>
  </si>
  <si>
    <t>Mufakose Transfer - Harare Robert Gabriel Mugabe Airport</t>
  </si>
  <si>
    <t>Tynwald Transfer - Harare Robert Gabriel Mugabe Airport</t>
  </si>
  <si>
    <t>Warren Park Transfer - Harare Robert Gabriel Mugabe Airport</t>
  </si>
  <si>
    <t>Westgate Transfer - Harare Robert Gabriel Mugabe Airport</t>
  </si>
  <si>
    <t>Zimbabwe, Juliasdale</t>
  </si>
  <si>
    <t>Harare Robert Gabriel Mugabe Airport - Juliasdale Transfer</t>
  </si>
  <si>
    <t>Zimbabwe, Kadoma</t>
  </si>
  <si>
    <t>Harare Robert Gabriel Mugabe Airport - Kadoma Transfer</t>
  </si>
  <si>
    <t>Zimbabwe, Kariba</t>
  </si>
  <si>
    <t>Harare Robert Gabriel Mugabe Airport - Kariba Transfer</t>
  </si>
  <si>
    <t>Zimbabwe, Kwekwe</t>
  </si>
  <si>
    <t>Harare Robert Gabriel Mugabe Airport - Kwekwe Transfer</t>
  </si>
  <si>
    <t>Zimbabwe, Mana Pools</t>
  </si>
  <si>
    <t>Harare Robert Gabriel Mugabe Airport - Mana Pools Transfer</t>
  </si>
  <si>
    <t>Zimbabwe, Marondera</t>
  </si>
  <si>
    <t>Harare Robert Gabriel Mugabe Airport - Marondera Transfer</t>
  </si>
  <si>
    <t>Zimbabwe, Masvingo</t>
  </si>
  <si>
    <t>Harare Robert Gabriel Mugabe Airport - Masvingo Transfer</t>
  </si>
  <si>
    <t>Zimbabwe, Mutare</t>
  </si>
  <si>
    <t>Harare Robert Gabriel Mugabe Airport - Mutare Transfer</t>
  </si>
  <si>
    <t>Zimbabwe, Mvuma</t>
  </si>
  <si>
    <t>Harare Robert Gabriel Mugabe Airport - Mvuma Transfer</t>
  </si>
  <si>
    <t>Zimbabwe, Mvurwi</t>
  </si>
  <si>
    <t>Harare Robert Gabriel Mugabe Airport - Mvurwi Transfer</t>
  </si>
  <si>
    <t>Zimbabwe, Norton</t>
  </si>
  <si>
    <t>Harare Robert Gabriel Mugabe Airport - Norton Transfer</t>
  </si>
  <si>
    <t>Zimbabwe, Nyanga</t>
  </si>
  <si>
    <t>Harare Robert Gabriel Mugabe Airport - Nyanga Transfer</t>
  </si>
  <si>
    <t>Zimbabwe, Rusape</t>
  </si>
  <si>
    <t>Harare Robert Gabriel Mugabe Airport - Rusape Transfer</t>
  </si>
  <si>
    <t>Zimbabwe, Ruwa</t>
  </si>
  <si>
    <t>Harare Robert Gabriel Mugabe Airport - Ruwa Transfer</t>
  </si>
  <si>
    <t>Juliasdale Transfer - Harare Robert Gabriel Mugabe Airport</t>
  </si>
  <si>
    <t>Kadoma Transfer - Harare Robert Gabriel Mugabe Airport</t>
  </si>
  <si>
    <t>Kariba Transfer - Harare Robert Gabriel Mugabe Airport</t>
  </si>
  <si>
    <t>Kwekwe Transfer - Harare Robert Gabriel Mugabe Airport</t>
  </si>
  <si>
    <t>Mana Pools Transfer - Harare Robert Gabriel Mugabe Airport</t>
  </si>
  <si>
    <t>Marondera Transfer - Harare Robert Gabriel Mugabe Airport</t>
  </si>
  <si>
    <t>Masvingo Transfer - Harare Robert Gabriel Mugabe Airport</t>
  </si>
  <si>
    <t>Mutare Transfer - Harare Robert Gabriel Mugabe Airport</t>
  </si>
  <si>
    <t>Mvuma Transfer - Harare Robert Gabriel Mugabe Airport</t>
  </si>
  <si>
    <t>Mvurwi Transfer - Harare Robert Gabriel Mugabe Airport</t>
  </si>
  <si>
    <t>Norton Transfer - Harare Robert Gabriel Mugabe Airport</t>
  </si>
  <si>
    <t>Nyanga Transfer - Harare Robert Gabriel Mugabe Airport</t>
  </si>
  <si>
    <t>Rusape Transfer - Harare Robert Gabriel Mugabe Airport</t>
  </si>
  <si>
    <t>Ruwa Transfer - Harare Robert Gabriel Mugabe Airport</t>
  </si>
  <si>
    <t>Victoria Falls Airport - Chobe National Park</t>
  </si>
  <si>
    <t>Victoria Falls Airport - Kazungula Transfer</t>
  </si>
  <si>
    <t>Victoria Falls Airport - Livingstone Hotel Transfer</t>
  </si>
  <si>
    <t>Victoria Falls Airport - Victoria Falls Hotel Transfer</t>
  </si>
  <si>
    <t>Victoria Falls Hotel Transfer - Victoria Falls Airport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</si>
</sst>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76A5AF"/>
        <bgColor rgb="FF76A5AF"/>
      </patternFill>
    </fill>
    <fill>
      <patternFill patternType="solid">
        <fgColor rgb="FFB6D7A8"/>
        <bgColor rgb="FFB6D7A8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3" fontId="2" numFmtId="0" xfId="0" applyAlignment="1" applyFill="1" applyFont="1">
      <alignment vertical="bottom"/>
    </xf>
    <xf borderId="0" fillId="3" fontId="3" numFmtId="0" xfId="0" applyAlignment="1" applyFont="1">
      <alignment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38.63"/>
    <col customWidth="1" min="3" max="3" width="36.88"/>
    <col customWidth="1" min="5" max="5" width="20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3" t="str">
        <f>HYPERLINK("https://12go.asia/en/travel/Dilijan-Bus-Station/Tbilisi-Isani-Mall", "12Go Link")</f>
        <v>12Go Link</v>
      </c>
      <c r="E2" s="2" t="s">
        <v>8</v>
      </c>
    </row>
    <row r="3">
      <c r="A3" s="2" t="s">
        <v>9</v>
      </c>
      <c r="B3" s="2" t="s">
        <v>10</v>
      </c>
      <c r="C3" s="2" t="s">
        <v>11</v>
      </c>
      <c r="D3" s="3" t="str">
        <f t="shared" ref="D3:D5" si="1">HYPERLINK("https://12go.asia/en/travel/Yerevan-Hotel-Transfer/Batumi-Airport", "12Go Link")</f>
        <v>12Go Link</v>
      </c>
      <c r="E3" s="2" t="s">
        <v>12</v>
      </c>
    </row>
    <row r="4">
      <c r="A4" s="2" t="s">
        <v>9</v>
      </c>
      <c r="B4" s="2" t="s">
        <v>10</v>
      </c>
      <c r="C4" s="2" t="s">
        <v>11</v>
      </c>
      <c r="D4" s="3" t="str">
        <f t="shared" si="1"/>
        <v>12Go Link</v>
      </c>
      <c r="E4" s="2" t="s">
        <v>13</v>
      </c>
    </row>
    <row r="5">
      <c r="A5" s="2" t="s">
        <v>9</v>
      </c>
      <c r="B5" s="2" t="s">
        <v>10</v>
      </c>
      <c r="C5" s="2" t="s">
        <v>11</v>
      </c>
      <c r="D5" s="3" t="str">
        <f t="shared" si="1"/>
        <v>12Go Link</v>
      </c>
      <c r="E5" s="2" t="s">
        <v>14</v>
      </c>
    </row>
    <row r="6">
      <c r="A6" s="2" t="s">
        <v>9</v>
      </c>
      <c r="B6" s="2" t="s">
        <v>10</v>
      </c>
      <c r="C6" s="2" t="s">
        <v>15</v>
      </c>
      <c r="D6" s="3" t="str">
        <f t="shared" ref="D6:D8" si="2">HYPERLINK("https://12go.asia/en/travel/Yerevan-Hotel-Transfer/Batumi-Hotel-Transfer", "12Go Link")</f>
        <v>12Go Link</v>
      </c>
      <c r="E6" s="2" t="s">
        <v>12</v>
      </c>
    </row>
    <row r="7">
      <c r="A7" s="2" t="s">
        <v>9</v>
      </c>
      <c r="B7" s="2" t="s">
        <v>10</v>
      </c>
      <c r="C7" s="2" t="s">
        <v>15</v>
      </c>
      <c r="D7" s="3" t="str">
        <f t="shared" si="2"/>
        <v>12Go Link</v>
      </c>
      <c r="E7" s="2" t="s">
        <v>13</v>
      </c>
    </row>
    <row r="8">
      <c r="A8" s="2" t="s">
        <v>9</v>
      </c>
      <c r="B8" s="2" t="s">
        <v>10</v>
      </c>
      <c r="C8" s="2" t="s">
        <v>15</v>
      </c>
      <c r="D8" s="3" t="str">
        <f t="shared" si="2"/>
        <v>12Go Link</v>
      </c>
      <c r="E8" s="2" t="s">
        <v>14</v>
      </c>
    </row>
    <row r="9">
      <c r="A9" s="2" t="s">
        <v>9</v>
      </c>
      <c r="B9" s="2" t="s">
        <v>16</v>
      </c>
      <c r="C9" s="2" t="s">
        <v>17</v>
      </c>
      <c r="D9" s="3" t="str">
        <f t="shared" ref="D9:D11" si="3">HYPERLINK("https://12go.asia/en/travel/Yerevan-Hotel-Transfer/Kutaisi-Airport", "12Go Link")</f>
        <v>12Go Link</v>
      </c>
      <c r="E9" s="2" t="s">
        <v>12</v>
      </c>
    </row>
    <row r="10">
      <c r="A10" s="2" t="s">
        <v>9</v>
      </c>
      <c r="B10" s="2" t="s">
        <v>16</v>
      </c>
      <c r="C10" s="2" t="s">
        <v>17</v>
      </c>
      <c r="D10" s="3" t="str">
        <f t="shared" si="3"/>
        <v>12Go Link</v>
      </c>
      <c r="E10" s="2" t="s">
        <v>13</v>
      </c>
    </row>
    <row r="11">
      <c r="A11" s="2" t="s">
        <v>9</v>
      </c>
      <c r="B11" s="2" t="s">
        <v>16</v>
      </c>
      <c r="C11" s="2" t="s">
        <v>17</v>
      </c>
      <c r="D11" s="3" t="str">
        <f t="shared" si="3"/>
        <v>12Go Link</v>
      </c>
      <c r="E11" s="2" t="s">
        <v>14</v>
      </c>
    </row>
    <row r="12">
      <c r="A12" s="2" t="s">
        <v>9</v>
      </c>
      <c r="B12" s="2" t="s">
        <v>16</v>
      </c>
      <c r="C12" s="2" t="s">
        <v>18</v>
      </c>
      <c r="D12" s="3" t="str">
        <f t="shared" ref="D12:D14" si="4">HYPERLINK("https://12go.asia/en/travel/Yerevan-Hotel-Transfer/Kutaisi-Hotel-Transfer", "12Go Link")</f>
        <v>12Go Link</v>
      </c>
      <c r="E12" s="2" t="s">
        <v>12</v>
      </c>
    </row>
    <row r="13">
      <c r="A13" s="2" t="s">
        <v>9</v>
      </c>
      <c r="B13" s="2" t="s">
        <v>16</v>
      </c>
      <c r="C13" s="2" t="s">
        <v>18</v>
      </c>
      <c r="D13" s="3" t="str">
        <f t="shared" si="4"/>
        <v>12Go Link</v>
      </c>
      <c r="E13" s="2" t="s">
        <v>13</v>
      </c>
    </row>
    <row r="14">
      <c r="A14" s="2" t="s">
        <v>9</v>
      </c>
      <c r="B14" s="2" t="s">
        <v>16</v>
      </c>
      <c r="C14" s="2" t="s">
        <v>18</v>
      </c>
      <c r="D14" s="3" t="str">
        <f t="shared" si="4"/>
        <v>12Go Link</v>
      </c>
      <c r="E14" s="2" t="s">
        <v>14</v>
      </c>
    </row>
    <row r="15">
      <c r="A15" s="2" t="s">
        <v>9</v>
      </c>
      <c r="B15" s="2" t="s">
        <v>6</v>
      </c>
      <c r="C15" s="2" t="s">
        <v>19</v>
      </c>
      <c r="D15" s="3" t="str">
        <f>HYPERLINK("https://12go.asia/en/travel/Yerevan-Abovyan-Street/Tbilisi-Isani-Mall", "12Go Link")</f>
        <v>12Go Link</v>
      </c>
      <c r="E15" s="2" t="s">
        <v>8</v>
      </c>
    </row>
    <row r="16">
      <c r="A16" s="2" t="s">
        <v>9</v>
      </c>
      <c r="B16" s="2" t="s">
        <v>6</v>
      </c>
      <c r="C16" s="2" t="s">
        <v>20</v>
      </c>
      <c r="D16" s="3" t="str">
        <f t="shared" ref="D16:D18" si="5">HYPERLINK("https://12go.asia/en/travel/Yerevan-Hotel-Transfer/Tbilisi-Airport", "12Go Link")</f>
        <v>12Go Link</v>
      </c>
      <c r="E16" s="2" t="s">
        <v>12</v>
      </c>
    </row>
    <row r="17">
      <c r="A17" s="2" t="s">
        <v>9</v>
      </c>
      <c r="B17" s="2" t="s">
        <v>6</v>
      </c>
      <c r="C17" s="2" t="s">
        <v>20</v>
      </c>
      <c r="D17" s="3" t="str">
        <f t="shared" si="5"/>
        <v>12Go Link</v>
      </c>
      <c r="E17" s="2" t="s">
        <v>13</v>
      </c>
    </row>
    <row r="18">
      <c r="A18" s="2" t="s">
        <v>9</v>
      </c>
      <c r="B18" s="2" t="s">
        <v>6</v>
      </c>
      <c r="C18" s="2" t="s">
        <v>20</v>
      </c>
      <c r="D18" s="3" t="str">
        <f t="shared" si="5"/>
        <v>12Go Link</v>
      </c>
      <c r="E18" s="2" t="s">
        <v>14</v>
      </c>
    </row>
    <row r="19">
      <c r="A19" s="2" t="s">
        <v>9</v>
      </c>
      <c r="B19" s="2" t="s">
        <v>6</v>
      </c>
      <c r="C19" s="2" t="s">
        <v>21</v>
      </c>
      <c r="D19" s="3" t="str">
        <f t="shared" ref="D19:D21" si="6">HYPERLINK("https://12go.asia/en/travel/Yerevan-Hotel-Transfer/Tbilisi-Hotel-Transfer", "12Go Link")</f>
        <v>12Go Link</v>
      </c>
      <c r="E19" s="2" t="s">
        <v>12</v>
      </c>
    </row>
    <row r="20">
      <c r="A20" s="2" t="s">
        <v>9</v>
      </c>
      <c r="B20" s="2" t="s">
        <v>6</v>
      </c>
      <c r="C20" s="2" t="s">
        <v>21</v>
      </c>
      <c r="D20" s="3" t="str">
        <f t="shared" si="6"/>
        <v>12Go Link</v>
      </c>
      <c r="E20" s="2" t="s">
        <v>13</v>
      </c>
    </row>
    <row r="21">
      <c r="A21" s="2" t="s">
        <v>9</v>
      </c>
      <c r="B21" s="2" t="s">
        <v>6</v>
      </c>
      <c r="C21" s="2" t="s">
        <v>21</v>
      </c>
      <c r="D21" s="3" t="str">
        <f t="shared" si="6"/>
        <v>12Go Link</v>
      </c>
      <c r="E21" s="2" t="s">
        <v>14</v>
      </c>
    </row>
    <row r="22">
      <c r="A22" s="2" t="s">
        <v>22</v>
      </c>
      <c r="B22" s="2" t="s">
        <v>23</v>
      </c>
      <c r="C22" s="2" t="s">
        <v>24</v>
      </c>
      <c r="D22" s="3" t="str">
        <f>HYPERLINK("https://12go.asia/en/travel/agnes-water/rockhampton", "12Go Link")</f>
        <v>12Go Link</v>
      </c>
      <c r="E22" s="2" t="s">
        <v>25</v>
      </c>
    </row>
    <row r="23">
      <c r="A23" s="2" t="s">
        <v>26</v>
      </c>
      <c r="B23" s="2" t="s">
        <v>27</v>
      </c>
      <c r="C23" s="2" t="s">
        <v>28</v>
      </c>
      <c r="D23" s="3" t="str">
        <f>HYPERLINK("https://12go.asia/en/travel/airlie-beach/livingstone-shire", "12Go Link")</f>
        <v>12Go Link</v>
      </c>
      <c r="E23" s="2" t="s">
        <v>25</v>
      </c>
    </row>
    <row r="24">
      <c r="A24" s="2" t="s">
        <v>26</v>
      </c>
      <c r="B24" s="2" t="s">
        <v>29</v>
      </c>
      <c r="C24" s="2" t="s">
        <v>30</v>
      </c>
      <c r="D24" s="3" t="str">
        <f>HYPERLINK("https://12go.asia/en/travel/airlie-beach/marlborough-queensland", "12Go Link")</f>
        <v>12Go Link</v>
      </c>
      <c r="E24" s="2" t="s">
        <v>25</v>
      </c>
    </row>
    <row r="25">
      <c r="A25" s="2" t="s">
        <v>26</v>
      </c>
      <c r="B25" s="2" t="s">
        <v>29</v>
      </c>
      <c r="C25" s="2" t="s">
        <v>31</v>
      </c>
      <c r="D25" s="3" t="str">
        <f>HYPERLINK("https://12go.asia/en/travel/port-of-airlie/marlborough-turnoff", "12Go Link")</f>
        <v>12Go Link</v>
      </c>
      <c r="E25" s="2" t="s">
        <v>25</v>
      </c>
    </row>
    <row r="26">
      <c r="A26" s="2" t="s">
        <v>32</v>
      </c>
      <c r="B26" s="2" t="s">
        <v>33</v>
      </c>
      <c r="C26" s="2" t="s">
        <v>34</v>
      </c>
      <c r="D26" s="3" t="str">
        <f>HYPERLINK("https://12go.asia/en/travel/alice-springs/davenport", "12Go Link")</f>
        <v>12Go Link</v>
      </c>
      <c r="E26" s="2" t="s">
        <v>25</v>
      </c>
    </row>
    <row r="27">
      <c r="A27" s="2" t="s">
        <v>35</v>
      </c>
      <c r="B27" s="2" t="s">
        <v>36</v>
      </c>
      <c r="C27" s="2" t="s">
        <v>37</v>
      </c>
      <c r="D27" s="3" t="str">
        <f>HYPERLINK("https://12go.asia/en/travel/blackwater/emerald", "12Go Link")</f>
        <v>12Go Link</v>
      </c>
      <c r="E27" s="2" t="s">
        <v>25</v>
      </c>
    </row>
    <row r="28">
      <c r="A28" s="2" t="s">
        <v>38</v>
      </c>
      <c r="B28" s="2" t="s">
        <v>39</v>
      </c>
      <c r="C28" s="2" t="s">
        <v>40</v>
      </c>
      <c r="D28" s="3" t="str">
        <f t="shared" ref="D28:D29" si="7">HYPERLINK("https://12go.asia/en/travel/Brisbane-Roma-Street/Bundaberg", "12Go Link")</f>
        <v>12Go Link</v>
      </c>
      <c r="E28" s="2" t="s">
        <v>41</v>
      </c>
    </row>
    <row r="29">
      <c r="A29" s="2" t="s">
        <v>38</v>
      </c>
      <c r="B29" s="2" t="s">
        <v>39</v>
      </c>
      <c r="C29" s="2" t="s">
        <v>40</v>
      </c>
      <c r="D29" s="3" t="str">
        <f t="shared" si="7"/>
        <v>12Go Link</v>
      </c>
      <c r="E29" s="2" t="s">
        <v>42</v>
      </c>
    </row>
    <row r="30">
      <c r="A30" s="2" t="s">
        <v>38</v>
      </c>
      <c r="B30" s="2" t="s">
        <v>43</v>
      </c>
      <c r="C30" s="2" t="s">
        <v>44</v>
      </c>
      <c r="D30" s="3" t="str">
        <f>HYPERLINK("https://12go.asia/en/travel/brisbane-coach-terminal/chinchilla", "12Go Link")</f>
        <v>12Go Link</v>
      </c>
      <c r="E30" s="2" t="s">
        <v>25</v>
      </c>
    </row>
    <row r="31">
      <c r="A31" s="2" t="s">
        <v>38</v>
      </c>
      <c r="B31" s="2" t="s">
        <v>45</v>
      </c>
      <c r="C31" s="2" t="s">
        <v>46</v>
      </c>
      <c r="D31" s="3" t="str">
        <f t="shared" ref="D31:D32" si="8">HYPERLINK("https://12go.asia/en/travel/Brisbane-Roma-Street/Gladstone", "12Go Link")</f>
        <v>12Go Link</v>
      </c>
      <c r="E31" s="2" t="s">
        <v>41</v>
      </c>
    </row>
    <row r="32">
      <c r="A32" s="2" t="s">
        <v>38</v>
      </c>
      <c r="B32" s="2" t="s">
        <v>45</v>
      </c>
      <c r="C32" s="2" t="s">
        <v>46</v>
      </c>
      <c r="D32" s="3" t="str">
        <f t="shared" si="8"/>
        <v>12Go Link</v>
      </c>
      <c r="E32" s="2" t="s">
        <v>42</v>
      </c>
    </row>
    <row r="33">
      <c r="A33" s="2" t="s">
        <v>38</v>
      </c>
      <c r="B33" s="2" t="s">
        <v>47</v>
      </c>
      <c r="C33" s="2" t="s">
        <v>48</v>
      </c>
      <c r="D33" s="3" t="str">
        <f t="shared" ref="D33:D34" si="9">HYPERLINK("https://12go.asia/en/travel/Brisbane-Roma-Street/Maryborough-West", "12Go Link")</f>
        <v>12Go Link</v>
      </c>
      <c r="E33" s="2" t="s">
        <v>41</v>
      </c>
    </row>
    <row r="34">
      <c r="A34" s="2" t="s">
        <v>38</v>
      </c>
      <c r="B34" s="2" t="s">
        <v>47</v>
      </c>
      <c r="C34" s="2" t="s">
        <v>48</v>
      </c>
      <c r="D34" s="3" t="str">
        <f t="shared" si="9"/>
        <v>12Go Link</v>
      </c>
      <c r="E34" s="2" t="s">
        <v>42</v>
      </c>
    </row>
    <row r="35">
      <c r="A35" s="2" t="s">
        <v>38</v>
      </c>
      <c r="B35" s="2" t="s">
        <v>23</v>
      </c>
      <c r="C35" s="2" t="s">
        <v>49</v>
      </c>
      <c r="D35" s="3" t="str">
        <f t="shared" ref="D35:D36" si="10">HYPERLINK("https://12go.asia/en/travel/Brisbane-Roma-Street/Rockhampton", "12Go Link")</f>
        <v>12Go Link</v>
      </c>
      <c r="E35" s="2" t="s">
        <v>41</v>
      </c>
    </row>
    <row r="36">
      <c r="A36" s="2" t="s">
        <v>38</v>
      </c>
      <c r="B36" s="2" t="s">
        <v>23</v>
      </c>
      <c r="C36" s="2" t="s">
        <v>49</v>
      </c>
      <c r="D36" s="3" t="str">
        <f t="shared" si="10"/>
        <v>12Go Link</v>
      </c>
      <c r="E36" s="2" t="s">
        <v>42</v>
      </c>
    </row>
    <row r="37">
      <c r="A37" s="2" t="s">
        <v>50</v>
      </c>
      <c r="B37" s="2" t="s">
        <v>23</v>
      </c>
      <c r="C37" s="2" t="s">
        <v>51</v>
      </c>
      <c r="D37" s="3" t="str">
        <f>HYPERLINK("https://12go.asia/en/travel/brisbane-domestic-airport/rockhampton", "12Go Link")</f>
        <v>12Go Link</v>
      </c>
      <c r="E37" s="2" t="s">
        <v>25</v>
      </c>
    </row>
    <row r="38">
      <c r="A38" s="2" t="s">
        <v>52</v>
      </c>
      <c r="B38" s="2" t="s">
        <v>53</v>
      </c>
      <c r="C38" s="2" t="s">
        <v>54</v>
      </c>
      <c r="D38" s="3" t="str">
        <f>HYPERLINK("https://12go.asia/en/travel/cairns-bus-stop/home-hill", "12Go Link")</f>
        <v>12Go Link</v>
      </c>
      <c r="E38" s="2" t="s">
        <v>25</v>
      </c>
    </row>
    <row r="39">
      <c r="A39" s="2" t="s">
        <v>55</v>
      </c>
      <c r="B39" s="2" t="s">
        <v>56</v>
      </c>
      <c r="C39" s="2" t="s">
        <v>57</v>
      </c>
      <c r="D39" s="3" t="str">
        <f>HYPERLINK("https://12go.asia/en/travel/canterbury-nsw/canberra", "12Go Link")</f>
        <v>12Go Link</v>
      </c>
      <c r="E39" s="2" t="s">
        <v>25</v>
      </c>
    </row>
    <row r="40">
      <c r="A40" s="2" t="s">
        <v>55</v>
      </c>
      <c r="B40" s="2" t="s">
        <v>58</v>
      </c>
      <c r="C40" s="2" t="s">
        <v>59</v>
      </c>
      <c r="D40" s="3" t="str">
        <f>HYPERLINK("https://12go.asia/en/travel/canterbury-nsw/i-gusti-ngurah-rai-international-airport", "12Go Link")</f>
        <v>12Go Link</v>
      </c>
      <c r="E40" s="2" t="s">
        <v>60</v>
      </c>
    </row>
    <row r="41">
      <c r="A41" s="2" t="s">
        <v>55</v>
      </c>
      <c r="B41" s="2" t="s">
        <v>61</v>
      </c>
      <c r="C41" s="2" t="s">
        <v>62</v>
      </c>
      <c r="D41" s="3" t="str">
        <f>HYPERLINK("https://12go.asia/en/travel/canterbury-nsw/jimbaran", "12Go Link")</f>
        <v>12Go Link</v>
      </c>
      <c r="E41" s="2" t="s">
        <v>60</v>
      </c>
    </row>
    <row r="42">
      <c r="A42" s="2" t="s">
        <v>55</v>
      </c>
      <c r="B42" s="2" t="s">
        <v>63</v>
      </c>
      <c r="C42" s="2" t="s">
        <v>64</v>
      </c>
      <c r="D42" s="3" t="str">
        <f>HYPERLINK("https://12go.asia/en/travel/canterbury-nsw/ubud", "12Go Link")</f>
        <v>12Go Link</v>
      </c>
      <c r="E42" s="2" t="s">
        <v>60</v>
      </c>
    </row>
    <row r="43">
      <c r="A43" s="2" t="s">
        <v>65</v>
      </c>
      <c r="B43" s="2" t="s">
        <v>66</v>
      </c>
      <c r="C43" s="2" t="s">
        <v>67</v>
      </c>
      <c r="D43" s="3" t="str">
        <f>HYPERLINK("https://12go.asia/en/travel/dalby/lockyer-valley", "12Go Link")</f>
        <v>12Go Link</v>
      </c>
      <c r="E43" s="2" t="s">
        <v>25</v>
      </c>
    </row>
    <row r="44">
      <c r="A44" s="2" t="s">
        <v>45</v>
      </c>
      <c r="B44" s="2" t="s">
        <v>23</v>
      </c>
      <c r="C44" s="2" t="s">
        <v>68</v>
      </c>
      <c r="D44" s="3" t="str">
        <f t="shared" ref="D44:D45" si="11">HYPERLINK("https://12go.asia/en/travel/Gladstone/Rockhampton", "12Go Link")</f>
        <v>12Go Link</v>
      </c>
      <c r="E44" s="2" t="s">
        <v>41</v>
      </c>
    </row>
    <row r="45">
      <c r="A45" s="2" t="s">
        <v>45</v>
      </c>
      <c r="B45" s="2" t="s">
        <v>23</v>
      </c>
      <c r="C45" s="2" t="s">
        <v>68</v>
      </c>
      <c r="D45" s="3" t="str">
        <f t="shared" si="11"/>
        <v>12Go Link</v>
      </c>
      <c r="E45" s="2" t="s">
        <v>42</v>
      </c>
    </row>
    <row r="46">
      <c r="A46" s="2" t="s">
        <v>69</v>
      </c>
      <c r="B46" s="2" t="s">
        <v>70</v>
      </c>
      <c r="C46" s="2" t="s">
        <v>71</v>
      </c>
      <c r="D46" s="3" t="str">
        <f>HYPERLINK("https://12go.asia/en/travel/iluka/woolgoolga", "12Go Link")</f>
        <v>12Go Link</v>
      </c>
      <c r="E46" s="2" t="s">
        <v>25</v>
      </c>
    </row>
    <row r="47">
      <c r="A47" s="2" t="s">
        <v>47</v>
      </c>
      <c r="B47" s="2" t="s">
        <v>45</v>
      </c>
      <c r="C47" s="2" t="s">
        <v>72</v>
      </c>
      <c r="D47" s="3" t="str">
        <f t="shared" ref="D47:D48" si="12">HYPERLINK("https://12go.asia/en/travel/Maryborough-West/Gladstone", "12Go Link")</f>
        <v>12Go Link</v>
      </c>
      <c r="E47" s="2" t="s">
        <v>41</v>
      </c>
    </row>
    <row r="48">
      <c r="A48" s="2" t="s">
        <v>47</v>
      </c>
      <c r="B48" s="2" t="s">
        <v>45</v>
      </c>
      <c r="C48" s="2" t="s">
        <v>72</v>
      </c>
      <c r="D48" s="3" t="str">
        <f t="shared" si="12"/>
        <v>12Go Link</v>
      </c>
      <c r="E48" s="2" t="s">
        <v>42</v>
      </c>
    </row>
    <row r="49">
      <c r="A49" s="2" t="s">
        <v>47</v>
      </c>
      <c r="B49" s="2" t="s">
        <v>23</v>
      </c>
      <c r="C49" s="2" t="s">
        <v>73</v>
      </c>
      <c r="D49" s="3" t="str">
        <f t="shared" ref="D49:D50" si="13">HYPERLINK("https://12go.asia/en/travel/Maryborough-West/Rockhampton", "12Go Link")</f>
        <v>12Go Link</v>
      </c>
      <c r="E49" s="2" t="s">
        <v>41</v>
      </c>
    </row>
    <row r="50">
      <c r="A50" s="2" t="s">
        <v>47</v>
      </c>
      <c r="B50" s="2" t="s">
        <v>23</v>
      </c>
      <c r="C50" s="2" t="s">
        <v>73</v>
      </c>
      <c r="D50" s="3" t="str">
        <f t="shared" si="13"/>
        <v>12Go Link</v>
      </c>
      <c r="E50" s="2" t="s">
        <v>42</v>
      </c>
    </row>
    <row r="51">
      <c r="A51" s="2" t="s">
        <v>74</v>
      </c>
      <c r="B51" s="2" t="s">
        <v>75</v>
      </c>
      <c r="C51" s="2" t="s">
        <v>76</v>
      </c>
      <c r="D51" s="3" t="str">
        <f>HYPERLINK("https://12go.asia/en/travel/broadmeadow/adoni", "12Go Link")</f>
        <v>12Go Link</v>
      </c>
      <c r="E51" s="2" t="s">
        <v>77</v>
      </c>
    </row>
    <row r="52">
      <c r="A52" s="2" t="s">
        <v>74</v>
      </c>
      <c r="B52" s="2" t="s">
        <v>75</v>
      </c>
      <c r="C52" s="2" t="s">
        <v>78</v>
      </c>
      <c r="D52" s="3" t="str">
        <f>HYPERLINK("https://12go.asia/en/travel/newcastle-new-south-wales/adoni", "12Go Link")</f>
        <v>12Go Link</v>
      </c>
      <c r="E52" s="2" t="s">
        <v>77</v>
      </c>
    </row>
    <row r="53">
      <c r="A53" s="2" t="s">
        <v>74</v>
      </c>
      <c r="B53" s="2" t="s">
        <v>79</v>
      </c>
      <c r="C53" s="2" t="s">
        <v>80</v>
      </c>
      <c r="D53" s="3" t="str">
        <f>HYPERLINK("https://12go.asia/en/travel/newcastle-new-south-wales/bhadravathi", "12Go Link")</f>
        <v>12Go Link</v>
      </c>
      <c r="E53" s="2" t="s">
        <v>77</v>
      </c>
    </row>
    <row r="54">
      <c r="A54" s="2" t="s">
        <v>74</v>
      </c>
      <c r="B54" s="2" t="s">
        <v>81</v>
      </c>
      <c r="C54" s="2" t="s">
        <v>82</v>
      </c>
      <c r="D54" s="3" t="str">
        <f>HYPERLINK("https://12go.asia/en/travel/broadmeadow/bina-junction", "12Go Link")</f>
        <v>12Go Link</v>
      </c>
      <c r="E54" s="2" t="s">
        <v>77</v>
      </c>
    </row>
    <row r="55">
      <c r="A55" s="2" t="s">
        <v>74</v>
      </c>
      <c r="B55" s="2" t="s">
        <v>81</v>
      </c>
      <c r="C55" s="2" t="s">
        <v>83</v>
      </c>
      <c r="D55" s="3" t="str">
        <f>HYPERLINK("https://12go.asia/en/travel/newcastle-new-south-wales/bina", "12Go Link")</f>
        <v>12Go Link</v>
      </c>
      <c r="E55" s="2" t="s">
        <v>77</v>
      </c>
    </row>
    <row r="56">
      <c r="A56" s="2" t="s">
        <v>74</v>
      </c>
      <c r="B56" s="2" t="s">
        <v>84</v>
      </c>
      <c r="C56" s="2" t="s">
        <v>85</v>
      </c>
      <c r="D56" s="3" t="str">
        <f>HYPERLINK("https://12go.asia/en/travel/broadmeadow/daund-junction", "12Go Link")</f>
        <v>12Go Link</v>
      </c>
      <c r="E56" s="2" t="s">
        <v>77</v>
      </c>
    </row>
    <row r="57">
      <c r="A57" s="2" t="s">
        <v>74</v>
      </c>
      <c r="B57" s="2" t="s">
        <v>84</v>
      </c>
      <c r="C57" s="2" t="s">
        <v>86</v>
      </c>
      <c r="D57" s="3" t="str">
        <f>HYPERLINK("https://12go.asia/en/travel/newcastle-new-south-wales/daund", "12Go Link")</f>
        <v>12Go Link</v>
      </c>
      <c r="E57" s="2" t="s">
        <v>77</v>
      </c>
    </row>
    <row r="58">
      <c r="A58" s="2" t="s">
        <v>87</v>
      </c>
      <c r="B58" s="2" t="s">
        <v>88</v>
      </c>
      <c r="C58" s="2" t="s">
        <v>89</v>
      </c>
      <c r="D58" s="3" t="str">
        <f>HYPERLINK("https://12go.asia/en/travel/rainbow-beach/gympie", "12Go Link")</f>
        <v>12Go Link</v>
      </c>
      <c r="E58" s="2" t="s">
        <v>25</v>
      </c>
    </row>
    <row r="59">
      <c r="A59" s="2" t="s">
        <v>87</v>
      </c>
      <c r="B59" s="2" t="s">
        <v>90</v>
      </c>
      <c r="C59" s="2" t="s">
        <v>91</v>
      </c>
      <c r="D59" s="3" t="str">
        <f>HYPERLINK("https://12go.asia/en/travel/rainbow-beach/mackay", "12Go Link")</f>
        <v>12Go Link</v>
      </c>
      <c r="E59" s="2" t="s">
        <v>25</v>
      </c>
    </row>
    <row r="60">
      <c r="A60" s="2" t="s">
        <v>87</v>
      </c>
      <c r="B60" s="2" t="s">
        <v>90</v>
      </c>
      <c r="C60" s="2" t="s">
        <v>92</v>
      </c>
      <c r="D60" s="3" t="str">
        <f>HYPERLINK("https://12go.asia/en/travel/rainbow-beach/mackay-queensland", "12Go Link")</f>
        <v>12Go Link</v>
      </c>
      <c r="E60" s="2" t="s">
        <v>25</v>
      </c>
    </row>
    <row r="61">
      <c r="A61" s="2" t="s">
        <v>93</v>
      </c>
      <c r="B61" s="2" t="s">
        <v>94</v>
      </c>
      <c r="C61" s="2" t="s">
        <v>95</v>
      </c>
      <c r="D61" s="3" t="str">
        <f>HYPERLINK("https://12go.asia/en/travel/roma-town-queensland/augathella", "12Go Link")</f>
        <v>12Go Link</v>
      </c>
      <c r="E61" s="2" t="s">
        <v>25</v>
      </c>
    </row>
    <row r="62">
      <c r="A62" s="2" t="s">
        <v>93</v>
      </c>
      <c r="B62" s="2" t="s">
        <v>94</v>
      </c>
      <c r="C62" s="2" t="s">
        <v>96</v>
      </c>
      <c r="D62" s="3" t="str">
        <f>HYPERLINK("https://12go.asia/en/travel/roma-town/augathella", "12Go Link")</f>
        <v>12Go Link</v>
      </c>
      <c r="E62" s="2" t="s">
        <v>25</v>
      </c>
    </row>
    <row r="63">
      <c r="A63" s="2" t="s">
        <v>97</v>
      </c>
      <c r="B63" s="2" t="s">
        <v>98</v>
      </c>
      <c r="C63" s="2" t="s">
        <v>99</v>
      </c>
      <c r="D63" s="3" t="str">
        <f>HYPERLINK("https://12go.asia/en/travel/surfers-paradise/ballina", "12Go Link")</f>
        <v>12Go Link</v>
      </c>
      <c r="E63" s="2" t="s">
        <v>25</v>
      </c>
    </row>
    <row r="64">
      <c r="A64" s="2" t="s">
        <v>97</v>
      </c>
      <c r="B64" s="2" t="s">
        <v>100</v>
      </c>
      <c r="C64" s="2" t="s">
        <v>101</v>
      </c>
      <c r="D64" s="3" t="str">
        <f>HYPERLINK("https://12go.asia/en/travel/surfers-paradise/bilinga", "12Go Link")</f>
        <v>12Go Link</v>
      </c>
      <c r="E64" s="2" t="s">
        <v>25</v>
      </c>
    </row>
    <row r="65">
      <c r="A65" s="2" t="s">
        <v>97</v>
      </c>
      <c r="B65" s="2" t="s">
        <v>55</v>
      </c>
      <c r="C65" s="2" t="s">
        <v>102</v>
      </c>
      <c r="D65" s="3" t="str">
        <f>HYPERLINK("https://12go.asia/en/travel/surfers-paradise/canterbury-nsw", "12Go Link")</f>
        <v>12Go Link</v>
      </c>
      <c r="E65" s="2" t="s">
        <v>25</v>
      </c>
    </row>
    <row r="66">
      <c r="A66" s="2" t="s">
        <v>97</v>
      </c>
      <c r="B66" s="2" t="s">
        <v>103</v>
      </c>
      <c r="C66" s="2" t="s">
        <v>104</v>
      </c>
      <c r="D66" s="3" t="str">
        <f>HYPERLINK("https://12go.asia/en/travel/surfers-paradise/clarence-valley", "12Go Link")</f>
        <v>12Go Link</v>
      </c>
      <c r="E66" s="2" t="s">
        <v>25</v>
      </c>
    </row>
    <row r="67">
      <c r="A67" s="2" t="s">
        <v>97</v>
      </c>
      <c r="B67" s="2" t="s">
        <v>105</v>
      </c>
      <c r="C67" s="2" t="s">
        <v>106</v>
      </c>
      <c r="D67" s="3" t="str">
        <f>HYPERLINK("https://12go.asia/en/travel/surfers-paradise/erskineville", "12Go Link")</f>
        <v>12Go Link</v>
      </c>
      <c r="E67" s="2" t="s">
        <v>25</v>
      </c>
    </row>
    <row r="68">
      <c r="A68" s="2" t="s">
        <v>97</v>
      </c>
      <c r="B68" s="2" t="s">
        <v>107</v>
      </c>
      <c r="C68" s="2" t="s">
        <v>108</v>
      </c>
      <c r="D68" s="3" t="str">
        <f>HYPERLINK("https://12go.asia/en/travel/surfers-paradise/hastings-shire", "12Go Link")</f>
        <v>12Go Link</v>
      </c>
      <c r="E68" s="2" t="s">
        <v>25</v>
      </c>
    </row>
    <row r="69">
      <c r="A69" s="2" t="s">
        <v>97</v>
      </c>
      <c r="B69" s="2" t="s">
        <v>69</v>
      </c>
      <c r="C69" s="2" t="s">
        <v>109</v>
      </c>
      <c r="D69" s="3" t="str">
        <f>HYPERLINK("https://12go.asia/en/travel/surfers-paradise/iluka", "12Go Link")</f>
        <v>12Go Link</v>
      </c>
      <c r="E69" s="2" t="s">
        <v>25</v>
      </c>
    </row>
    <row r="70">
      <c r="A70" s="2" t="s">
        <v>97</v>
      </c>
      <c r="B70" s="2" t="s">
        <v>110</v>
      </c>
      <c r="C70" s="2" t="s">
        <v>111</v>
      </c>
      <c r="D70" s="3" t="str">
        <f>HYPERLINK("https://12go.asia/en/travel/surfers-paradise/maclean", "12Go Link")</f>
        <v>12Go Link</v>
      </c>
      <c r="E70" s="2" t="s">
        <v>25</v>
      </c>
    </row>
    <row r="71">
      <c r="A71" s="2" t="s">
        <v>97</v>
      </c>
      <c r="B71" s="2" t="s">
        <v>112</v>
      </c>
      <c r="C71" s="2" t="s">
        <v>113</v>
      </c>
      <c r="D71" s="3" t="str">
        <f>HYPERLINK("https://12go.asia/en/travel/surfers-paradise/mid-coast", "12Go Link")</f>
        <v>12Go Link</v>
      </c>
      <c r="E71" s="2" t="s">
        <v>25</v>
      </c>
    </row>
    <row r="72">
      <c r="A72" s="2" t="s">
        <v>97</v>
      </c>
      <c r="B72" s="2" t="s">
        <v>114</v>
      </c>
      <c r="C72" s="2" t="s">
        <v>115</v>
      </c>
      <c r="D72" s="3" t="str">
        <f>HYPERLINK("https://12go.asia/en/travel/surfers-paradise/potts-point-nsw", "12Go Link")</f>
        <v>12Go Link</v>
      </c>
      <c r="E72" s="2" t="s">
        <v>25</v>
      </c>
    </row>
    <row r="73">
      <c r="A73" s="2" t="s">
        <v>97</v>
      </c>
      <c r="B73" s="2" t="s">
        <v>116</v>
      </c>
      <c r="C73" s="2" t="s">
        <v>117</v>
      </c>
      <c r="D73" s="3" t="str">
        <f>HYPERLINK("https://12go.asia/en/travel/surfers-paradise/taree", "12Go Link")</f>
        <v>12Go Link</v>
      </c>
      <c r="E73" s="2" t="s">
        <v>25</v>
      </c>
    </row>
    <row r="74">
      <c r="A74" s="2" t="s">
        <v>97</v>
      </c>
      <c r="B74" s="2" t="s">
        <v>118</v>
      </c>
      <c r="C74" s="2" t="s">
        <v>119</v>
      </c>
      <c r="D74" s="3" t="str">
        <f>HYPERLINK("https://12go.asia/en/travel/surfers-paradise/west-ballina", "12Go Link")</f>
        <v>12Go Link</v>
      </c>
      <c r="E74" s="2" t="s">
        <v>25</v>
      </c>
    </row>
    <row r="75">
      <c r="A75" s="2" t="s">
        <v>97</v>
      </c>
      <c r="B75" s="2" t="s">
        <v>120</v>
      </c>
      <c r="C75" s="2" t="s">
        <v>121</v>
      </c>
      <c r="D75" s="3" t="str">
        <f>HYPERLINK("https://12go.asia/en/travel/surfers-paradise/yamba", "12Go Link")</f>
        <v>12Go Link</v>
      </c>
      <c r="E75" s="2" t="s">
        <v>25</v>
      </c>
    </row>
    <row r="76">
      <c r="A76" s="2" t="s">
        <v>122</v>
      </c>
      <c r="B76" s="2" t="s">
        <v>123</v>
      </c>
      <c r="C76" s="2" t="s">
        <v>124</v>
      </c>
      <c r="D76" s="3" t="str">
        <f>HYPERLINK("https://12go.asia/en/travel/sydney/byron-bay", "12Go Link")</f>
        <v>12Go Link</v>
      </c>
      <c r="E76" s="2" t="s">
        <v>25</v>
      </c>
    </row>
    <row r="77">
      <c r="A77" s="2" t="s">
        <v>122</v>
      </c>
      <c r="B77" s="2" t="s">
        <v>110</v>
      </c>
      <c r="C77" s="2" t="s">
        <v>125</v>
      </c>
      <c r="D77" s="3" t="str">
        <f>HYPERLINK("https://12go.asia/en/travel/sydney-central-station/maclean", "12Go Link")</f>
        <v>12Go Link</v>
      </c>
      <c r="E77" s="2" t="s">
        <v>25</v>
      </c>
    </row>
    <row r="78">
      <c r="A78" s="2" t="s">
        <v>122</v>
      </c>
      <c r="B78" s="2" t="s">
        <v>110</v>
      </c>
      <c r="C78" s="2" t="s">
        <v>126</v>
      </c>
      <c r="D78" s="3" t="str">
        <f>HYPERLINK("https://12go.asia/en/travel/sydney/maclean", "12Go Link")</f>
        <v>12Go Link</v>
      </c>
      <c r="E78" s="2" t="s">
        <v>25</v>
      </c>
    </row>
    <row r="79">
      <c r="A79" s="2" t="s">
        <v>122</v>
      </c>
      <c r="B79" s="2" t="s">
        <v>127</v>
      </c>
      <c r="C79" s="2" t="s">
        <v>128</v>
      </c>
      <c r="D79" s="3" t="str">
        <f>HYPERLINK("https://12go.asia/en/travel/sydney/nusa-ceningan", "12Go Link")</f>
        <v>12Go Link</v>
      </c>
      <c r="E79" s="2" t="s">
        <v>60</v>
      </c>
    </row>
    <row r="80">
      <c r="A80" s="2" t="s">
        <v>122</v>
      </c>
      <c r="B80" s="2" t="s">
        <v>129</v>
      </c>
      <c r="C80" s="2" t="s">
        <v>130</v>
      </c>
      <c r="D80" s="3" t="str">
        <f>HYPERLINK("https://12go.asia/en/travel/sydney/nusa-lembongan", "12Go Link")</f>
        <v>12Go Link</v>
      </c>
      <c r="E80" s="2" t="s">
        <v>60</v>
      </c>
    </row>
    <row r="81">
      <c r="A81" s="2" t="s">
        <v>122</v>
      </c>
      <c r="B81" s="2" t="s">
        <v>131</v>
      </c>
      <c r="C81" s="2" t="s">
        <v>132</v>
      </c>
      <c r="D81" s="3" t="str">
        <f>HYPERLINK("https://12go.asia/en/travel/sydney/nusa-penida", "12Go Link")</f>
        <v>12Go Link</v>
      </c>
      <c r="E81" s="2" t="s">
        <v>60</v>
      </c>
    </row>
    <row r="82">
      <c r="A82" s="2" t="s">
        <v>122</v>
      </c>
      <c r="B82" s="2" t="s">
        <v>133</v>
      </c>
      <c r="C82" s="2" t="s">
        <v>134</v>
      </c>
      <c r="D82" s="3" t="str">
        <f>HYPERLINK("https://12go.asia/en/travel/sydney/padang-bai", "12Go Link")</f>
        <v>12Go Link</v>
      </c>
      <c r="E82" s="2" t="s">
        <v>60</v>
      </c>
    </row>
    <row r="83">
      <c r="A83" s="2" t="s">
        <v>122</v>
      </c>
      <c r="B83" s="2" t="s">
        <v>135</v>
      </c>
      <c r="C83" s="2" t="s">
        <v>136</v>
      </c>
      <c r="D83" s="3" t="str">
        <f>HYPERLINK("https://12go.asia/en/travel/sydney/sanur", "12Go Link")</f>
        <v>12Go Link</v>
      </c>
      <c r="E83" s="2" t="s">
        <v>60</v>
      </c>
    </row>
    <row r="84">
      <c r="A84" s="2" t="s">
        <v>122</v>
      </c>
      <c r="B84" s="2" t="s">
        <v>137</v>
      </c>
      <c r="C84" s="2" t="s">
        <v>138</v>
      </c>
      <c r="D84" s="3" t="str">
        <f>HYPERLINK("https://12go.asia/en/travel/sydney/singaraja", "12Go Link")</f>
        <v>12Go Link</v>
      </c>
      <c r="E84" s="2" t="s">
        <v>60</v>
      </c>
    </row>
    <row r="85">
      <c r="A85" s="2" t="s">
        <v>139</v>
      </c>
      <c r="B85" s="2" t="s">
        <v>22</v>
      </c>
      <c r="C85" s="2" t="s">
        <v>140</v>
      </c>
      <c r="D85" s="3" t="str">
        <f>HYPERLINK("https://12go.asia/en/travel/townsville/agnes-water", "12Go Link")</f>
        <v>12Go Link</v>
      </c>
      <c r="E85" s="2" t="s">
        <v>25</v>
      </c>
    </row>
    <row r="86">
      <c r="A86" s="2" t="s">
        <v>120</v>
      </c>
      <c r="B86" s="2" t="s">
        <v>70</v>
      </c>
      <c r="C86" s="2" t="s">
        <v>141</v>
      </c>
      <c r="D86" s="3" t="str">
        <f>HYPERLINK("https://12go.asia/en/travel/yamba/arrawarra", "12Go Link")</f>
        <v>12Go Link</v>
      </c>
      <c r="E86" s="2" t="s">
        <v>25</v>
      </c>
    </row>
    <row r="87">
      <c r="A87" s="2" t="s">
        <v>120</v>
      </c>
      <c r="B87" s="2" t="s">
        <v>70</v>
      </c>
      <c r="C87" s="2" t="s">
        <v>142</v>
      </c>
      <c r="D87" s="3" t="str">
        <f>HYPERLINK("https://12go.asia/en/travel/yamba/woolgoolga", "12Go Link")</f>
        <v>12Go Link</v>
      </c>
      <c r="E87" s="2" t="s">
        <v>25</v>
      </c>
    </row>
    <row r="88">
      <c r="A88" s="2" t="s">
        <v>143</v>
      </c>
      <c r="B88" s="2" t="s">
        <v>144</v>
      </c>
      <c r="C88" s="2" t="s">
        <v>145</v>
      </c>
      <c r="D88" s="3" t="str">
        <f t="shared" ref="D88:D89" si="14">HYPERLINK("https://12go.asia/en/travel/Benapole/Dhaka-Cantonment-Station", "12Go Link")</f>
        <v>12Go Link</v>
      </c>
      <c r="E88" s="2" t="s">
        <v>146</v>
      </c>
    </row>
    <row r="89">
      <c r="A89" s="2" t="s">
        <v>143</v>
      </c>
      <c r="B89" s="2" t="s">
        <v>144</v>
      </c>
      <c r="C89" s="2" t="s">
        <v>145</v>
      </c>
      <c r="D89" s="3" t="str">
        <f t="shared" si="14"/>
        <v>12Go Link</v>
      </c>
      <c r="E89" s="2" t="s">
        <v>147</v>
      </c>
    </row>
    <row r="90">
      <c r="A90" s="2" t="s">
        <v>148</v>
      </c>
      <c r="B90" s="2" t="s">
        <v>149</v>
      </c>
      <c r="C90" s="2" t="s">
        <v>150</v>
      </c>
      <c r="D90" s="3" t="str">
        <f t="shared" ref="D90:D91" si="15">HYPERLINK("https://12go.asia/en/travel/Chittagong-Railway-Station/Coxs-Bazar-Railway-Station", "12Go Link")</f>
        <v>12Go Link</v>
      </c>
      <c r="E90" s="2" t="s">
        <v>146</v>
      </c>
    </row>
    <row r="91">
      <c r="A91" s="2" t="s">
        <v>148</v>
      </c>
      <c r="B91" s="2" t="s">
        <v>149</v>
      </c>
      <c r="C91" s="2" t="s">
        <v>150</v>
      </c>
      <c r="D91" s="3" t="str">
        <f t="shared" si="15"/>
        <v>12Go Link</v>
      </c>
      <c r="E91" s="2" t="s">
        <v>147</v>
      </c>
    </row>
    <row r="92">
      <c r="A92" s="2" t="s">
        <v>148</v>
      </c>
      <c r="B92" s="2" t="s">
        <v>144</v>
      </c>
      <c r="C92" s="2" t="s">
        <v>151</v>
      </c>
      <c r="D92" s="3" t="str">
        <f t="shared" ref="D92:D94" si="16">HYPERLINK("https://12go.asia/en/travel/Chittagong-Railway-Station/Dhaka-Cantonment-Station", "12Go Link")</f>
        <v>12Go Link</v>
      </c>
      <c r="E92" s="2" t="s">
        <v>152</v>
      </c>
    </row>
    <row r="93">
      <c r="A93" s="2" t="s">
        <v>148</v>
      </c>
      <c r="B93" s="2" t="s">
        <v>144</v>
      </c>
      <c r="C93" s="2" t="s">
        <v>151</v>
      </c>
      <c r="D93" s="3" t="str">
        <f t="shared" si="16"/>
        <v>12Go Link</v>
      </c>
      <c r="E93" s="2" t="s">
        <v>146</v>
      </c>
    </row>
    <row r="94">
      <c r="A94" s="2" t="s">
        <v>148</v>
      </c>
      <c r="B94" s="2" t="s">
        <v>144</v>
      </c>
      <c r="C94" s="2" t="s">
        <v>151</v>
      </c>
      <c r="D94" s="3" t="str">
        <f t="shared" si="16"/>
        <v>12Go Link</v>
      </c>
      <c r="E94" s="2" t="s">
        <v>147</v>
      </c>
    </row>
    <row r="95">
      <c r="A95" s="2" t="s">
        <v>148</v>
      </c>
      <c r="B95" s="2" t="s">
        <v>144</v>
      </c>
      <c r="C95" s="2" t="s">
        <v>153</v>
      </c>
      <c r="D95" s="3" t="str">
        <f>HYPERLINK("https://12go.asia/en/travel/Mymensingh/Dhaka-Cantonment-Station", "12Go Link")</f>
        <v>12Go Link</v>
      </c>
      <c r="E95" s="2" t="s">
        <v>146</v>
      </c>
    </row>
    <row r="96">
      <c r="A96" s="2" t="s">
        <v>154</v>
      </c>
      <c r="B96" s="2" t="s">
        <v>144</v>
      </c>
      <c r="C96" s="2" t="s">
        <v>155</v>
      </c>
      <c r="D96" s="3" t="str">
        <f>HYPERLINK("https://12go.asia/en/travel/Brahmanbaria/Dhaka-Cantonment-Station", "12Go Link")</f>
        <v>12Go Link</v>
      </c>
      <c r="E96" s="2" t="s">
        <v>146</v>
      </c>
    </row>
    <row r="97">
      <c r="A97" s="2" t="s">
        <v>149</v>
      </c>
      <c r="B97" s="2" t="s">
        <v>148</v>
      </c>
      <c r="C97" s="2" t="s">
        <v>156</v>
      </c>
      <c r="D97" s="3" t="str">
        <f t="shared" ref="D97:D99" si="17">HYPERLINK("https://12go.asia/en/travel/Coxs-Bazar-Railway-Station/Chittagong-Railway-Station", "12Go Link")</f>
        <v>12Go Link</v>
      </c>
      <c r="E97" s="2" t="s">
        <v>152</v>
      </c>
    </row>
    <row r="98">
      <c r="A98" s="2" t="s">
        <v>149</v>
      </c>
      <c r="B98" s="2" t="s">
        <v>148</v>
      </c>
      <c r="C98" s="2" t="s">
        <v>156</v>
      </c>
      <c r="D98" s="3" t="str">
        <f t="shared" si="17"/>
        <v>12Go Link</v>
      </c>
      <c r="E98" s="2" t="s">
        <v>146</v>
      </c>
    </row>
    <row r="99">
      <c r="A99" s="2" t="s">
        <v>149</v>
      </c>
      <c r="B99" s="2" t="s">
        <v>148</v>
      </c>
      <c r="C99" s="2" t="s">
        <v>156</v>
      </c>
      <c r="D99" s="3" t="str">
        <f t="shared" si="17"/>
        <v>12Go Link</v>
      </c>
      <c r="E99" s="2" t="s">
        <v>147</v>
      </c>
    </row>
    <row r="100">
      <c r="A100" s="2" t="s">
        <v>149</v>
      </c>
      <c r="B100" s="2" t="s">
        <v>144</v>
      </c>
      <c r="C100" s="2" t="s">
        <v>157</v>
      </c>
      <c r="D100" s="3" t="str">
        <f t="shared" ref="D100:D101" si="18">HYPERLINK("https://12go.asia/en/travel/Coxs-Bazar-Railway-Station/Dhaka-Cantonment-Station", "12Go Link")</f>
        <v>12Go Link</v>
      </c>
      <c r="E100" s="2" t="s">
        <v>146</v>
      </c>
    </row>
    <row r="101">
      <c r="A101" s="2" t="s">
        <v>149</v>
      </c>
      <c r="B101" s="2" t="s">
        <v>144</v>
      </c>
      <c r="C101" s="2" t="s">
        <v>157</v>
      </c>
      <c r="D101" s="3" t="str">
        <f t="shared" si="18"/>
        <v>12Go Link</v>
      </c>
      <c r="E101" s="2" t="s">
        <v>147</v>
      </c>
    </row>
    <row r="102">
      <c r="A102" s="2" t="s">
        <v>144</v>
      </c>
      <c r="B102" s="2" t="s">
        <v>143</v>
      </c>
      <c r="C102" s="2" t="s">
        <v>158</v>
      </c>
      <c r="D102" s="3" t="str">
        <f t="shared" ref="D102:D103" si="19">HYPERLINK("https://12go.asia/en/travel/Dhaka-Cantonment-Station/Benapole", "12Go Link")</f>
        <v>12Go Link</v>
      </c>
      <c r="E102" s="2" t="s">
        <v>152</v>
      </c>
    </row>
    <row r="103">
      <c r="A103" s="2" t="s">
        <v>144</v>
      </c>
      <c r="B103" s="2" t="s">
        <v>143</v>
      </c>
      <c r="C103" s="2" t="s">
        <v>158</v>
      </c>
      <c r="D103" s="3" t="str">
        <f t="shared" si="19"/>
        <v>12Go Link</v>
      </c>
      <c r="E103" s="2" t="s">
        <v>146</v>
      </c>
    </row>
    <row r="104">
      <c r="A104" s="2" t="s">
        <v>144</v>
      </c>
      <c r="B104" s="2" t="s">
        <v>148</v>
      </c>
      <c r="C104" s="2" t="s">
        <v>159</v>
      </c>
      <c r="D104" s="3" t="str">
        <f t="shared" ref="D104:D106" si="20">HYPERLINK("https://12go.asia/en/travel/Dhaka-Cantonment-Station/Chittagong-Railway-Station", "12Go Link")</f>
        <v>12Go Link</v>
      </c>
      <c r="E104" s="2" t="s">
        <v>152</v>
      </c>
    </row>
    <row r="105">
      <c r="A105" s="2" t="s">
        <v>144</v>
      </c>
      <c r="B105" s="2" t="s">
        <v>148</v>
      </c>
      <c r="C105" s="2" t="s">
        <v>159</v>
      </c>
      <c r="D105" s="3" t="str">
        <f t="shared" si="20"/>
        <v>12Go Link</v>
      </c>
      <c r="E105" s="2" t="s">
        <v>146</v>
      </c>
    </row>
    <row r="106">
      <c r="A106" s="2" t="s">
        <v>144</v>
      </c>
      <c r="B106" s="2" t="s">
        <v>148</v>
      </c>
      <c r="C106" s="2" t="s">
        <v>159</v>
      </c>
      <c r="D106" s="3" t="str">
        <f t="shared" si="20"/>
        <v>12Go Link</v>
      </c>
      <c r="E106" s="2" t="s">
        <v>147</v>
      </c>
    </row>
    <row r="107">
      <c r="A107" s="2" t="s">
        <v>144</v>
      </c>
      <c r="B107" s="2" t="s">
        <v>148</v>
      </c>
      <c r="C107" s="2" t="s">
        <v>160</v>
      </c>
      <c r="D107" s="3" t="str">
        <f>HYPERLINK("https://12go.asia/en/travel/Dhaka-Cantonment-Station/Mymensingh", "12Go Link")</f>
        <v>12Go Link</v>
      </c>
      <c r="E107" s="2" t="s">
        <v>146</v>
      </c>
    </row>
    <row r="108">
      <c r="A108" s="2" t="s">
        <v>144</v>
      </c>
      <c r="B108" s="2" t="s">
        <v>154</v>
      </c>
      <c r="C108" s="2" t="s">
        <v>161</v>
      </c>
      <c r="D108" s="3" t="str">
        <f>HYPERLINK("https://12go.asia/en/travel/Dhaka-Cantonment-Station/Brahmanbaria", "12Go Link")</f>
        <v>12Go Link</v>
      </c>
      <c r="E108" s="2" t="s">
        <v>146</v>
      </c>
    </row>
    <row r="109">
      <c r="A109" s="2" t="s">
        <v>144</v>
      </c>
      <c r="B109" s="2" t="s">
        <v>149</v>
      </c>
      <c r="C109" s="2" t="s">
        <v>162</v>
      </c>
      <c r="D109" s="3" t="str">
        <f t="shared" ref="D109:D111" si="21">HYPERLINK("https://12go.asia/en/travel/Dhaka-Cantonment-Station/Coxs-Bazar-Railway-Station", "12Go Link")</f>
        <v>12Go Link</v>
      </c>
      <c r="E109" s="2" t="s">
        <v>152</v>
      </c>
    </row>
    <row r="110">
      <c r="A110" s="2" t="s">
        <v>144</v>
      </c>
      <c r="B110" s="2" t="s">
        <v>149</v>
      </c>
      <c r="C110" s="2" t="s">
        <v>162</v>
      </c>
      <c r="D110" s="3" t="str">
        <f t="shared" si="21"/>
        <v>12Go Link</v>
      </c>
      <c r="E110" s="2" t="s">
        <v>146</v>
      </c>
    </row>
    <row r="111">
      <c r="A111" s="2" t="s">
        <v>144</v>
      </c>
      <c r="B111" s="2" t="s">
        <v>149</v>
      </c>
      <c r="C111" s="2" t="s">
        <v>162</v>
      </c>
      <c r="D111" s="3" t="str">
        <f t="shared" si="21"/>
        <v>12Go Link</v>
      </c>
      <c r="E111" s="2" t="s">
        <v>147</v>
      </c>
    </row>
    <row r="112">
      <c r="A112" s="2" t="s">
        <v>144</v>
      </c>
      <c r="B112" s="2" t="s">
        <v>144</v>
      </c>
      <c r="C112" s="2" t="s">
        <v>163</v>
      </c>
      <c r="D112" s="3" t="str">
        <f>HYPERLINK("https://12go.asia/en/travel/Dhaka-Cantonment-Station/Tangail", "12Go Link")</f>
        <v>12Go Link</v>
      </c>
      <c r="E112" s="2" t="s">
        <v>146</v>
      </c>
    </row>
    <row r="113">
      <c r="A113" s="2" t="s">
        <v>144</v>
      </c>
      <c r="B113" s="2" t="s">
        <v>144</v>
      </c>
      <c r="C113" s="2" t="s">
        <v>164</v>
      </c>
      <c r="D113" s="3" t="str">
        <f>HYPERLINK("https://12go.asia/en/travel/Tangail/Dhaka-Cantonment-Station", "12Go Link")</f>
        <v>12Go Link</v>
      </c>
      <c r="E113" s="2" t="s">
        <v>146</v>
      </c>
    </row>
    <row r="114">
      <c r="A114" s="2" t="s">
        <v>144</v>
      </c>
      <c r="B114" s="2" t="s">
        <v>165</v>
      </c>
      <c r="C114" s="2" t="s">
        <v>166</v>
      </c>
      <c r="D114" s="3" t="str">
        <f t="shared" ref="D114:D116" si="22">HYPERLINK("https://12go.asia/en/travel/Dhaka-Cantonment-Station/Dinajpur", "12Go Link")</f>
        <v>12Go Link</v>
      </c>
      <c r="E114" s="2" t="s">
        <v>152</v>
      </c>
    </row>
    <row r="115">
      <c r="A115" s="2" t="s">
        <v>144</v>
      </c>
      <c r="B115" s="2" t="s">
        <v>165</v>
      </c>
      <c r="C115" s="2" t="s">
        <v>166</v>
      </c>
      <c r="D115" s="3" t="str">
        <f t="shared" si="22"/>
        <v>12Go Link</v>
      </c>
      <c r="E115" s="2" t="s">
        <v>146</v>
      </c>
    </row>
    <row r="116">
      <c r="A116" s="2" t="s">
        <v>144</v>
      </c>
      <c r="B116" s="2" t="s">
        <v>165</v>
      </c>
      <c r="C116" s="2" t="s">
        <v>166</v>
      </c>
      <c r="D116" s="3" t="str">
        <f t="shared" si="22"/>
        <v>12Go Link</v>
      </c>
      <c r="E116" s="2" t="s">
        <v>147</v>
      </c>
    </row>
    <row r="117">
      <c r="A117" s="2" t="s">
        <v>144</v>
      </c>
      <c r="B117" s="2" t="s">
        <v>167</v>
      </c>
      <c r="C117" s="2" t="s">
        <v>168</v>
      </c>
      <c r="D117" s="3" t="str">
        <f t="shared" ref="D117:D118" si="23">HYPERLINK("https://12go.asia/en/travel/Dhaka-Cantonment-Station/Khulna-Railway-Station", "12Go Link")</f>
        <v>12Go Link</v>
      </c>
      <c r="E117" s="2" t="s">
        <v>152</v>
      </c>
    </row>
    <row r="118">
      <c r="A118" s="2" t="s">
        <v>144</v>
      </c>
      <c r="B118" s="2" t="s">
        <v>167</v>
      </c>
      <c r="C118" s="2" t="s">
        <v>168</v>
      </c>
      <c r="D118" s="3" t="str">
        <f t="shared" si="23"/>
        <v>12Go Link</v>
      </c>
      <c r="E118" s="2" t="s">
        <v>147</v>
      </c>
    </row>
    <row r="119">
      <c r="A119" s="2" t="s">
        <v>144</v>
      </c>
      <c r="B119" s="2" t="s">
        <v>169</v>
      </c>
      <c r="C119" s="2" t="s">
        <v>170</v>
      </c>
      <c r="D119" s="3" t="str">
        <f t="shared" ref="D119:D120" si="24">HYPERLINK("https://12go.asia/en/travel/Dhaka-Cantonment-Station/Bogra", "12Go Link")</f>
        <v>12Go Link</v>
      </c>
      <c r="E119" s="2" t="s">
        <v>146</v>
      </c>
    </row>
    <row r="120">
      <c r="A120" s="2" t="s">
        <v>144</v>
      </c>
      <c r="B120" s="2" t="s">
        <v>169</v>
      </c>
      <c r="C120" s="2" t="s">
        <v>170</v>
      </c>
      <c r="D120" s="3" t="str">
        <f t="shared" si="24"/>
        <v>12Go Link</v>
      </c>
      <c r="E120" s="2" t="s">
        <v>147</v>
      </c>
    </row>
    <row r="121">
      <c r="A121" s="2" t="s">
        <v>144</v>
      </c>
      <c r="B121" s="2" t="s">
        <v>169</v>
      </c>
      <c r="C121" s="2" t="s">
        <v>171</v>
      </c>
      <c r="D121" s="3" t="str">
        <f>HYPERLINK("https://12go.asia/en/travel/Dhaka-Cantonment-Station/Ishwardi", "12Go Link")</f>
        <v>12Go Link</v>
      </c>
      <c r="E121" s="2" t="s">
        <v>146</v>
      </c>
    </row>
    <row r="122">
      <c r="A122" s="2" t="s">
        <v>144</v>
      </c>
      <c r="B122" s="2" t="s">
        <v>169</v>
      </c>
      <c r="C122" s="2" t="s">
        <v>172</v>
      </c>
      <c r="D122" s="3" t="str">
        <f>HYPERLINK("https://12go.asia/en/travel/Dhaka-Cantonment-Station/Kushtia", "12Go Link")</f>
        <v>12Go Link</v>
      </c>
      <c r="E122" s="2" t="s">
        <v>146</v>
      </c>
    </row>
    <row r="123">
      <c r="A123" s="2" t="s">
        <v>144</v>
      </c>
      <c r="B123" s="2" t="s">
        <v>173</v>
      </c>
      <c r="C123" s="2" t="s">
        <v>174</v>
      </c>
      <c r="D123" s="3" t="str">
        <f t="shared" ref="D123:D125" si="25">HYPERLINK("https://12go.asia/en/travel/Dhaka-Cantonment-Station/Jessore", "12Go Link")</f>
        <v>12Go Link</v>
      </c>
      <c r="E123" s="2" t="s">
        <v>152</v>
      </c>
    </row>
    <row r="124">
      <c r="A124" s="2" t="s">
        <v>144</v>
      </c>
      <c r="B124" s="2" t="s">
        <v>173</v>
      </c>
      <c r="C124" s="2" t="s">
        <v>174</v>
      </c>
      <c r="D124" s="3" t="str">
        <f t="shared" si="25"/>
        <v>12Go Link</v>
      </c>
      <c r="E124" s="2" t="s">
        <v>146</v>
      </c>
    </row>
    <row r="125">
      <c r="A125" s="2" t="s">
        <v>144</v>
      </c>
      <c r="B125" s="2" t="s">
        <v>173</v>
      </c>
      <c r="C125" s="2" t="s">
        <v>174</v>
      </c>
      <c r="D125" s="3" t="str">
        <f t="shared" si="25"/>
        <v>12Go Link</v>
      </c>
      <c r="E125" s="2" t="s">
        <v>147</v>
      </c>
    </row>
    <row r="126">
      <c r="A126" s="2" t="s">
        <v>144</v>
      </c>
      <c r="B126" s="2" t="s">
        <v>175</v>
      </c>
      <c r="C126" s="2" t="s">
        <v>176</v>
      </c>
      <c r="D126" s="3" t="str">
        <f t="shared" ref="D126:D128" si="26">HYPERLINK("https://12go.asia/en/travel/Dhaka-Cantonment-Station/Rangpur", "12Go Link")</f>
        <v>12Go Link</v>
      </c>
      <c r="E126" s="2" t="s">
        <v>152</v>
      </c>
    </row>
    <row r="127">
      <c r="A127" s="2" t="s">
        <v>144</v>
      </c>
      <c r="B127" s="2" t="s">
        <v>175</v>
      </c>
      <c r="C127" s="2" t="s">
        <v>176</v>
      </c>
      <c r="D127" s="3" t="str">
        <f t="shared" si="26"/>
        <v>12Go Link</v>
      </c>
      <c r="E127" s="2" t="s">
        <v>146</v>
      </c>
    </row>
    <row r="128">
      <c r="A128" s="2" t="s">
        <v>144</v>
      </c>
      <c r="B128" s="2" t="s">
        <v>175</v>
      </c>
      <c r="C128" s="2" t="s">
        <v>176</v>
      </c>
      <c r="D128" s="3" t="str">
        <f t="shared" si="26"/>
        <v>12Go Link</v>
      </c>
      <c r="E128" s="2" t="s">
        <v>147</v>
      </c>
    </row>
    <row r="129">
      <c r="A129" s="2" t="s">
        <v>144</v>
      </c>
      <c r="B129" s="2" t="s">
        <v>177</v>
      </c>
      <c r="C129" s="2" t="s">
        <v>178</v>
      </c>
      <c r="D129" s="3" t="str">
        <f t="shared" ref="D129:D131" si="27">HYPERLINK("https://12go.asia/en/travel/Dhaka-Cantonment-Station/Sylhet-Railway-Station", "12Go Link")</f>
        <v>12Go Link</v>
      </c>
      <c r="E129" s="2" t="s">
        <v>152</v>
      </c>
    </row>
    <row r="130">
      <c r="A130" s="2" t="s">
        <v>144</v>
      </c>
      <c r="B130" s="2" t="s">
        <v>177</v>
      </c>
      <c r="C130" s="2" t="s">
        <v>178</v>
      </c>
      <c r="D130" s="3" t="str">
        <f t="shared" si="27"/>
        <v>12Go Link</v>
      </c>
      <c r="E130" s="2" t="s">
        <v>146</v>
      </c>
    </row>
    <row r="131">
      <c r="A131" s="2" t="s">
        <v>144</v>
      </c>
      <c r="B131" s="2" t="s">
        <v>177</v>
      </c>
      <c r="C131" s="2" t="s">
        <v>178</v>
      </c>
      <c r="D131" s="3" t="str">
        <f t="shared" si="27"/>
        <v>12Go Link</v>
      </c>
      <c r="E131" s="2" t="s">
        <v>147</v>
      </c>
    </row>
    <row r="132">
      <c r="A132" s="2" t="s">
        <v>165</v>
      </c>
      <c r="B132" s="2" t="s">
        <v>144</v>
      </c>
      <c r="C132" s="2" t="s">
        <v>179</v>
      </c>
      <c r="D132" s="3" t="str">
        <f t="shared" ref="D132:D134" si="28">HYPERLINK("https://12go.asia/en/travel/Dinajpur/Dhaka-Cantonment-Station", "12Go Link")</f>
        <v>12Go Link</v>
      </c>
      <c r="E132" s="2" t="s">
        <v>152</v>
      </c>
    </row>
    <row r="133">
      <c r="A133" s="2" t="s">
        <v>165</v>
      </c>
      <c r="B133" s="2" t="s">
        <v>144</v>
      </c>
      <c r="C133" s="2" t="s">
        <v>179</v>
      </c>
      <c r="D133" s="3" t="str">
        <f t="shared" si="28"/>
        <v>12Go Link</v>
      </c>
      <c r="E133" s="2" t="s">
        <v>146</v>
      </c>
    </row>
    <row r="134">
      <c r="A134" s="2" t="s">
        <v>165</v>
      </c>
      <c r="B134" s="2" t="s">
        <v>144</v>
      </c>
      <c r="C134" s="2" t="s">
        <v>179</v>
      </c>
      <c r="D134" s="3" t="str">
        <f t="shared" si="28"/>
        <v>12Go Link</v>
      </c>
      <c r="E134" s="2" t="s">
        <v>147</v>
      </c>
    </row>
    <row r="135">
      <c r="A135" s="2" t="s">
        <v>167</v>
      </c>
      <c r="B135" s="2" t="s">
        <v>144</v>
      </c>
      <c r="C135" s="2" t="s">
        <v>180</v>
      </c>
      <c r="D135" s="3" t="str">
        <f t="shared" ref="D135:D136" si="29">HYPERLINK("https://12go.asia/en/travel/Khulna-Railway-Station/Dhaka-Cantonment-Station", "12Go Link")</f>
        <v>12Go Link</v>
      </c>
      <c r="E135" s="2" t="s">
        <v>152</v>
      </c>
    </row>
    <row r="136">
      <c r="A136" s="2" t="s">
        <v>167</v>
      </c>
      <c r="B136" s="2" t="s">
        <v>144</v>
      </c>
      <c r="C136" s="2" t="s">
        <v>180</v>
      </c>
      <c r="D136" s="3" t="str">
        <f t="shared" si="29"/>
        <v>12Go Link</v>
      </c>
      <c r="E136" s="2" t="s">
        <v>147</v>
      </c>
    </row>
    <row r="137">
      <c r="A137" s="2" t="s">
        <v>169</v>
      </c>
      <c r="B137" s="2" t="s">
        <v>144</v>
      </c>
      <c r="C137" s="2" t="s">
        <v>181</v>
      </c>
      <c r="D137" s="3" t="str">
        <f t="shared" ref="D137:D138" si="30">HYPERLINK("https://12go.asia/en/travel/Bogra/Dhaka-Cantonment-Station", "12Go Link")</f>
        <v>12Go Link</v>
      </c>
      <c r="E137" s="2" t="s">
        <v>152</v>
      </c>
    </row>
    <row r="138">
      <c r="A138" s="2" t="s">
        <v>169</v>
      </c>
      <c r="B138" s="2" t="s">
        <v>144</v>
      </c>
      <c r="C138" s="2" t="s">
        <v>181</v>
      </c>
      <c r="D138" s="3" t="str">
        <f t="shared" si="30"/>
        <v>12Go Link</v>
      </c>
      <c r="E138" s="2" t="s">
        <v>146</v>
      </c>
    </row>
    <row r="139">
      <c r="A139" s="2" t="s">
        <v>169</v>
      </c>
      <c r="B139" s="2" t="s">
        <v>144</v>
      </c>
      <c r="C139" s="2" t="s">
        <v>182</v>
      </c>
      <c r="D139" s="3" t="str">
        <f>HYPERLINK("https://12go.asia/en/travel/Ishwardi/Dhaka-Cantonment-Station", "12Go Link")</f>
        <v>12Go Link</v>
      </c>
      <c r="E139" s="2" t="s">
        <v>146</v>
      </c>
    </row>
    <row r="140">
      <c r="A140" s="2" t="s">
        <v>169</v>
      </c>
      <c r="B140" s="2" t="s">
        <v>144</v>
      </c>
      <c r="C140" s="2" t="s">
        <v>183</v>
      </c>
      <c r="D140" s="3" t="str">
        <f>HYPERLINK("https://12go.asia/en/travel/Kushtia/Dhaka-Cantonment-Station", "12Go Link")</f>
        <v>12Go Link</v>
      </c>
      <c r="E140" s="2" t="s">
        <v>146</v>
      </c>
    </row>
    <row r="141">
      <c r="A141" s="2" t="s">
        <v>173</v>
      </c>
      <c r="B141" s="2" t="s">
        <v>144</v>
      </c>
      <c r="C141" s="2" t="s">
        <v>184</v>
      </c>
      <c r="D141" s="3" t="str">
        <f t="shared" ref="D141:D143" si="31">HYPERLINK("https://12go.asia/en/travel/Jessore/Dhaka-Cantonment-Station", "12Go Link")</f>
        <v>12Go Link</v>
      </c>
      <c r="E141" s="2" t="s">
        <v>152</v>
      </c>
    </row>
    <row r="142">
      <c r="A142" s="2" t="s">
        <v>173</v>
      </c>
      <c r="B142" s="2" t="s">
        <v>144</v>
      </c>
      <c r="C142" s="2" t="s">
        <v>184</v>
      </c>
      <c r="D142" s="3" t="str">
        <f t="shared" si="31"/>
        <v>12Go Link</v>
      </c>
      <c r="E142" s="2" t="s">
        <v>146</v>
      </c>
    </row>
    <row r="143">
      <c r="A143" s="2" t="s">
        <v>173</v>
      </c>
      <c r="B143" s="2" t="s">
        <v>144</v>
      </c>
      <c r="C143" s="2" t="s">
        <v>184</v>
      </c>
      <c r="D143" s="3" t="str">
        <f t="shared" si="31"/>
        <v>12Go Link</v>
      </c>
      <c r="E143" s="2" t="s">
        <v>147</v>
      </c>
    </row>
    <row r="144">
      <c r="A144" s="2" t="s">
        <v>173</v>
      </c>
      <c r="B144" s="2" t="s">
        <v>144</v>
      </c>
      <c r="C144" s="2" t="s">
        <v>185</v>
      </c>
      <c r="D144" s="3" t="str">
        <f t="shared" ref="D144:D146" si="32">HYPERLINK("https://12go.asia/en/travel/Rajshahi-Railway-Station/Dhaka-Cantonment-Station", "12Go Link")</f>
        <v>12Go Link</v>
      </c>
      <c r="E144" s="2" t="s">
        <v>152</v>
      </c>
    </row>
    <row r="145">
      <c r="A145" s="2" t="s">
        <v>173</v>
      </c>
      <c r="B145" s="2" t="s">
        <v>144</v>
      </c>
      <c r="C145" s="2" t="s">
        <v>185</v>
      </c>
      <c r="D145" s="3" t="str">
        <f t="shared" si="32"/>
        <v>12Go Link</v>
      </c>
      <c r="E145" s="2" t="s">
        <v>146</v>
      </c>
    </row>
    <row r="146">
      <c r="A146" s="2" t="s">
        <v>173</v>
      </c>
      <c r="B146" s="2" t="s">
        <v>144</v>
      </c>
      <c r="C146" s="2" t="s">
        <v>185</v>
      </c>
      <c r="D146" s="3" t="str">
        <f t="shared" si="32"/>
        <v>12Go Link</v>
      </c>
      <c r="E146" s="2" t="s">
        <v>147</v>
      </c>
    </row>
    <row r="147">
      <c r="A147" s="2" t="s">
        <v>175</v>
      </c>
      <c r="B147" s="2" t="s">
        <v>144</v>
      </c>
      <c r="C147" s="2" t="s">
        <v>186</v>
      </c>
      <c r="D147" s="3" t="str">
        <f t="shared" ref="D147:D149" si="33">HYPERLINK("https://12go.asia/en/travel/Rangpur/Dhaka-Cantonment-Station", "12Go Link")</f>
        <v>12Go Link</v>
      </c>
      <c r="E147" s="2" t="s">
        <v>152</v>
      </c>
    </row>
    <row r="148">
      <c r="A148" s="2" t="s">
        <v>175</v>
      </c>
      <c r="B148" s="2" t="s">
        <v>144</v>
      </c>
      <c r="C148" s="2" t="s">
        <v>186</v>
      </c>
      <c r="D148" s="3" t="str">
        <f t="shared" si="33"/>
        <v>12Go Link</v>
      </c>
      <c r="E148" s="2" t="s">
        <v>146</v>
      </c>
    </row>
    <row r="149">
      <c r="A149" s="2" t="s">
        <v>175</v>
      </c>
      <c r="B149" s="2" t="s">
        <v>144</v>
      </c>
      <c r="C149" s="2" t="s">
        <v>186</v>
      </c>
      <c r="D149" s="3" t="str">
        <f t="shared" si="33"/>
        <v>12Go Link</v>
      </c>
      <c r="E149" s="2" t="s">
        <v>147</v>
      </c>
    </row>
    <row r="150">
      <c r="A150" s="2" t="s">
        <v>177</v>
      </c>
      <c r="B150" s="2" t="s">
        <v>144</v>
      </c>
      <c r="C150" s="2" t="s">
        <v>187</v>
      </c>
      <c r="D150" s="3" t="str">
        <f t="shared" ref="D150:D152" si="34">HYPERLINK("https://12go.asia/en/travel/Sylhet-Railway-Station/Dhaka-Cantonment-Station", "12Go Link")</f>
        <v>12Go Link</v>
      </c>
      <c r="E150" s="2" t="s">
        <v>152</v>
      </c>
    </row>
    <row r="151">
      <c r="A151" s="2" t="s">
        <v>177</v>
      </c>
      <c r="B151" s="2" t="s">
        <v>144</v>
      </c>
      <c r="C151" s="2" t="s">
        <v>187</v>
      </c>
      <c r="D151" s="3" t="str">
        <f t="shared" si="34"/>
        <v>12Go Link</v>
      </c>
      <c r="E151" s="2" t="s">
        <v>146</v>
      </c>
    </row>
    <row r="152">
      <c r="A152" s="2" t="s">
        <v>177</v>
      </c>
      <c r="B152" s="2" t="s">
        <v>144</v>
      </c>
      <c r="C152" s="2" t="s">
        <v>187</v>
      </c>
      <c r="D152" s="3" t="str">
        <f t="shared" si="34"/>
        <v>12Go Link</v>
      </c>
      <c r="E152" s="2" t="s">
        <v>147</v>
      </c>
    </row>
    <row r="153">
      <c r="A153" s="2" t="s">
        <v>188</v>
      </c>
      <c r="B153" s="2" t="s">
        <v>189</v>
      </c>
      <c r="C153" s="2" t="s">
        <v>190</v>
      </c>
      <c r="D153" s="3" t="str">
        <f t="shared" ref="D153:D155" si="35">HYPERLINK("https://12go.asia/en/travel/Chobe-National-Park/Sir-Seretse-Khama-Airport", "12Go Link")</f>
        <v>12Go Link</v>
      </c>
      <c r="E153" s="2" t="s">
        <v>191</v>
      </c>
    </row>
    <row r="154">
      <c r="A154" s="2" t="s">
        <v>188</v>
      </c>
      <c r="B154" s="2" t="s">
        <v>189</v>
      </c>
      <c r="C154" s="2" t="s">
        <v>190</v>
      </c>
      <c r="D154" s="3" t="str">
        <f t="shared" si="35"/>
        <v>12Go Link</v>
      </c>
      <c r="E154" s="2" t="s">
        <v>192</v>
      </c>
    </row>
    <row r="155">
      <c r="A155" s="2" t="s">
        <v>188</v>
      </c>
      <c r="B155" s="2" t="s">
        <v>189</v>
      </c>
      <c r="C155" s="2" t="s">
        <v>190</v>
      </c>
      <c r="D155" s="3" t="str">
        <f t="shared" si="35"/>
        <v>12Go Link</v>
      </c>
      <c r="E155" s="2" t="s">
        <v>193</v>
      </c>
    </row>
    <row r="156">
      <c r="A156" s="2" t="s">
        <v>188</v>
      </c>
      <c r="B156" s="2" t="s">
        <v>194</v>
      </c>
      <c r="C156" s="2" t="s">
        <v>195</v>
      </c>
      <c r="D156" s="3" t="str">
        <f t="shared" ref="D156:D158" si="36">HYPERLINK("https://12go.asia/en/travel/Chobe-National-Park/Victoria-Falls-Airport", "12Go Link")</f>
        <v>12Go Link</v>
      </c>
      <c r="E156" s="2" t="s">
        <v>191</v>
      </c>
    </row>
    <row r="157">
      <c r="A157" s="2" t="s">
        <v>188</v>
      </c>
      <c r="B157" s="2" t="s">
        <v>194</v>
      </c>
      <c r="C157" s="2" t="s">
        <v>195</v>
      </c>
      <c r="D157" s="3" t="str">
        <f t="shared" si="36"/>
        <v>12Go Link</v>
      </c>
      <c r="E157" s="2" t="s">
        <v>192</v>
      </c>
    </row>
    <row r="158">
      <c r="A158" s="2" t="s">
        <v>188</v>
      </c>
      <c r="B158" s="2" t="s">
        <v>194</v>
      </c>
      <c r="C158" s="2" t="s">
        <v>195</v>
      </c>
      <c r="D158" s="3" t="str">
        <f t="shared" si="36"/>
        <v>12Go Link</v>
      </c>
      <c r="E158" s="2" t="s">
        <v>193</v>
      </c>
    </row>
    <row r="159">
      <c r="A159" s="2" t="s">
        <v>196</v>
      </c>
      <c r="B159" s="2" t="s">
        <v>189</v>
      </c>
      <c r="C159" s="2" t="s">
        <v>197</v>
      </c>
      <c r="D159" s="3" t="str">
        <f t="shared" ref="D159:D161" si="37">HYPERLINK("https://12go.asia/en/travel/Francistown-Transfer/Sir-Seretse-Khama-Airport", "12Go Link")</f>
        <v>12Go Link</v>
      </c>
      <c r="E159" s="2" t="s">
        <v>191</v>
      </c>
    </row>
    <row r="160">
      <c r="A160" s="2" t="s">
        <v>196</v>
      </c>
      <c r="B160" s="2" t="s">
        <v>189</v>
      </c>
      <c r="C160" s="2" t="s">
        <v>197</v>
      </c>
      <c r="D160" s="3" t="str">
        <f t="shared" si="37"/>
        <v>12Go Link</v>
      </c>
      <c r="E160" s="2" t="s">
        <v>192</v>
      </c>
    </row>
    <row r="161">
      <c r="A161" s="2" t="s">
        <v>196</v>
      </c>
      <c r="B161" s="2" t="s">
        <v>189</v>
      </c>
      <c r="C161" s="2" t="s">
        <v>197</v>
      </c>
      <c r="D161" s="3" t="str">
        <f t="shared" si="37"/>
        <v>12Go Link</v>
      </c>
      <c r="E161" s="2" t="s">
        <v>193</v>
      </c>
    </row>
    <row r="162">
      <c r="A162" s="2" t="s">
        <v>189</v>
      </c>
      <c r="B162" s="2" t="s">
        <v>188</v>
      </c>
      <c r="C162" s="2" t="s">
        <v>198</v>
      </c>
      <c r="D162" s="3" t="str">
        <f t="shared" ref="D162:D164" si="38">HYPERLINK("https://12go.asia/en/travel/Sir-Seretse-Khama-Airport/Chobe-National-Park", "12Go Link")</f>
        <v>12Go Link</v>
      </c>
      <c r="E162" s="2" t="s">
        <v>191</v>
      </c>
    </row>
    <row r="163">
      <c r="A163" s="2" t="s">
        <v>189</v>
      </c>
      <c r="B163" s="2" t="s">
        <v>188</v>
      </c>
      <c r="C163" s="2" t="s">
        <v>198</v>
      </c>
      <c r="D163" s="3" t="str">
        <f t="shared" si="38"/>
        <v>12Go Link</v>
      </c>
      <c r="E163" s="2" t="s">
        <v>192</v>
      </c>
    </row>
    <row r="164">
      <c r="A164" s="2" t="s">
        <v>189</v>
      </c>
      <c r="B164" s="2" t="s">
        <v>188</v>
      </c>
      <c r="C164" s="2" t="s">
        <v>198</v>
      </c>
      <c r="D164" s="3" t="str">
        <f t="shared" si="38"/>
        <v>12Go Link</v>
      </c>
      <c r="E164" s="2" t="s">
        <v>193</v>
      </c>
    </row>
    <row r="165">
      <c r="A165" s="2" t="s">
        <v>189</v>
      </c>
      <c r="B165" s="2" t="s">
        <v>196</v>
      </c>
      <c r="C165" s="2" t="s">
        <v>199</v>
      </c>
      <c r="D165" s="3" t="str">
        <f t="shared" ref="D165:D167" si="39">HYPERLINK("https://12go.asia/en/travel/Sir-Seretse-Khama-Airport/Francistown-Transfer", "12Go Link")</f>
        <v>12Go Link</v>
      </c>
      <c r="E165" s="2" t="s">
        <v>191</v>
      </c>
    </row>
    <row r="166">
      <c r="A166" s="2" t="s">
        <v>189</v>
      </c>
      <c r="B166" s="2" t="s">
        <v>196</v>
      </c>
      <c r="C166" s="2" t="s">
        <v>199</v>
      </c>
      <c r="D166" s="3" t="str">
        <f t="shared" si="39"/>
        <v>12Go Link</v>
      </c>
      <c r="E166" s="2" t="s">
        <v>192</v>
      </c>
    </row>
    <row r="167">
      <c r="A167" s="2" t="s">
        <v>189</v>
      </c>
      <c r="B167" s="2" t="s">
        <v>196</v>
      </c>
      <c r="C167" s="2" t="s">
        <v>199</v>
      </c>
      <c r="D167" s="3" t="str">
        <f t="shared" si="39"/>
        <v>12Go Link</v>
      </c>
      <c r="E167" s="2" t="s">
        <v>193</v>
      </c>
    </row>
    <row r="168">
      <c r="A168" s="2" t="s">
        <v>189</v>
      </c>
      <c r="B168" s="2" t="s">
        <v>189</v>
      </c>
      <c r="C168" s="2" t="s">
        <v>200</v>
      </c>
      <c r="D168" s="3" t="str">
        <f t="shared" ref="D168:D170" si="40">HYPERLINK("https://12go.asia/en/travel/Gaborone-Hotel-Transfer/Sir-Seretse-Khama-Airport", "12Go Link")</f>
        <v>12Go Link</v>
      </c>
      <c r="E168" s="2" t="s">
        <v>191</v>
      </c>
    </row>
    <row r="169">
      <c r="A169" s="2" t="s">
        <v>189</v>
      </c>
      <c r="B169" s="2" t="s">
        <v>189</v>
      </c>
      <c r="C169" s="2" t="s">
        <v>200</v>
      </c>
      <c r="D169" s="3" t="str">
        <f t="shared" si="40"/>
        <v>12Go Link</v>
      </c>
      <c r="E169" s="2" t="s">
        <v>192</v>
      </c>
    </row>
    <row r="170">
      <c r="A170" s="2" t="s">
        <v>189</v>
      </c>
      <c r="B170" s="2" t="s">
        <v>189</v>
      </c>
      <c r="C170" s="2" t="s">
        <v>200</v>
      </c>
      <c r="D170" s="3" t="str">
        <f t="shared" si="40"/>
        <v>12Go Link</v>
      </c>
      <c r="E170" s="2" t="s">
        <v>193</v>
      </c>
    </row>
    <row r="171">
      <c r="A171" s="2" t="s">
        <v>189</v>
      </c>
      <c r="B171" s="2" t="s">
        <v>189</v>
      </c>
      <c r="C171" s="2" t="s">
        <v>201</v>
      </c>
      <c r="D171" s="3" t="str">
        <f t="shared" ref="D171:D173" si="41">HYPERLINK("https://12go.asia/en/travel/Sir-Seretse-Khama-Airport/Gaborone-Hotel-Transfer", "12Go Link")</f>
        <v>12Go Link</v>
      </c>
      <c r="E171" s="2" t="s">
        <v>191</v>
      </c>
    </row>
    <row r="172">
      <c r="A172" s="2" t="s">
        <v>189</v>
      </c>
      <c r="B172" s="2" t="s">
        <v>189</v>
      </c>
      <c r="C172" s="2" t="s">
        <v>201</v>
      </c>
      <c r="D172" s="3" t="str">
        <f t="shared" si="41"/>
        <v>12Go Link</v>
      </c>
      <c r="E172" s="2" t="s">
        <v>192</v>
      </c>
    </row>
    <row r="173">
      <c r="A173" s="2" t="s">
        <v>189</v>
      </c>
      <c r="B173" s="2" t="s">
        <v>189</v>
      </c>
      <c r="C173" s="2" t="s">
        <v>201</v>
      </c>
      <c r="D173" s="3" t="str">
        <f t="shared" si="41"/>
        <v>12Go Link</v>
      </c>
      <c r="E173" s="2" t="s">
        <v>193</v>
      </c>
    </row>
    <row r="174">
      <c r="A174" s="2" t="s">
        <v>189</v>
      </c>
      <c r="B174" s="2" t="s">
        <v>202</v>
      </c>
      <c r="C174" s="2" t="s">
        <v>203</v>
      </c>
      <c r="D174" s="3" t="str">
        <f t="shared" ref="D174:D176" si="42">HYPERLINK("https://12go.asia/en/travel/Sir-Seretse-Khama-Airport/Maun-Transfer", "12Go Link")</f>
        <v>12Go Link</v>
      </c>
      <c r="E174" s="2" t="s">
        <v>191</v>
      </c>
    </row>
    <row r="175">
      <c r="A175" s="2" t="s">
        <v>189</v>
      </c>
      <c r="B175" s="2" t="s">
        <v>202</v>
      </c>
      <c r="C175" s="2" t="s">
        <v>203</v>
      </c>
      <c r="D175" s="3" t="str">
        <f t="shared" si="42"/>
        <v>12Go Link</v>
      </c>
      <c r="E175" s="2" t="s">
        <v>192</v>
      </c>
    </row>
    <row r="176">
      <c r="A176" s="2" t="s">
        <v>189</v>
      </c>
      <c r="B176" s="2" t="s">
        <v>202</v>
      </c>
      <c r="C176" s="2" t="s">
        <v>203</v>
      </c>
      <c r="D176" s="3" t="str">
        <f t="shared" si="42"/>
        <v>12Go Link</v>
      </c>
      <c r="E176" s="2" t="s">
        <v>193</v>
      </c>
    </row>
    <row r="177">
      <c r="A177" s="2" t="s">
        <v>202</v>
      </c>
      <c r="B177" s="2" t="s">
        <v>189</v>
      </c>
      <c r="C177" s="2" t="s">
        <v>204</v>
      </c>
      <c r="D177" s="3" t="str">
        <f t="shared" ref="D177:D179" si="43">HYPERLINK("https://12go.asia/en/travel/Maun-Transfer/Sir-Seretse-Khama-Airport", "12Go Link")</f>
        <v>12Go Link</v>
      </c>
      <c r="E177" s="2" t="s">
        <v>191</v>
      </c>
    </row>
    <row r="178">
      <c r="A178" s="2" t="s">
        <v>202</v>
      </c>
      <c r="B178" s="2" t="s">
        <v>189</v>
      </c>
      <c r="C178" s="2" t="s">
        <v>204</v>
      </c>
      <c r="D178" s="3" t="str">
        <f t="shared" si="43"/>
        <v>12Go Link</v>
      </c>
      <c r="E178" s="2" t="s">
        <v>192</v>
      </c>
    </row>
    <row r="179">
      <c r="A179" s="2" t="s">
        <v>202</v>
      </c>
      <c r="B179" s="2" t="s">
        <v>189</v>
      </c>
      <c r="C179" s="2" t="s">
        <v>204</v>
      </c>
      <c r="D179" s="3" t="str">
        <f t="shared" si="43"/>
        <v>12Go Link</v>
      </c>
      <c r="E179" s="2" t="s">
        <v>193</v>
      </c>
    </row>
    <row r="180">
      <c r="A180" s="2" t="s">
        <v>205</v>
      </c>
      <c r="B180" s="2" t="s">
        <v>206</v>
      </c>
      <c r="C180" s="2" t="s">
        <v>207</v>
      </c>
      <c r="D180" s="3" t="str">
        <f>HYPERLINK("https://12go.asia/en/travel/ang-ta-soam/kampot", "12Go Link")</f>
        <v>12Go Link</v>
      </c>
      <c r="E180" s="2" t="s">
        <v>25</v>
      </c>
    </row>
    <row r="181">
      <c r="A181" s="2" t="s">
        <v>205</v>
      </c>
      <c r="B181" s="2" t="s">
        <v>206</v>
      </c>
      <c r="C181" s="2" t="s">
        <v>208</v>
      </c>
      <c r="D181" s="3" t="str">
        <f>HYPERLINK("https://12go.asia/en/travel/angk-ta-saom/kampot", "12Go Link")</f>
        <v>12Go Link</v>
      </c>
      <c r="E181" s="2" t="s">
        <v>25</v>
      </c>
    </row>
    <row r="182">
      <c r="A182" s="2" t="s">
        <v>209</v>
      </c>
      <c r="B182" s="2" t="s">
        <v>210</v>
      </c>
      <c r="C182" s="2" t="s">
        <v>211</v>
      </c>
      <c r="D182" s="3" t="str">
        <f>HYPERLINK("https://12go.asia/en/travel/svay-chek/battambang", "12Go Link")</f>
        <v>12Go Link</v>
      </c>
      <c r="E182" s="2" t="s">
        <v>25</v>
      </c>
    </row>
    <row r="183">
      <c r="A183" s="2" t="s">
        <v>209</v>
      </c>
      <c r="B183" s="2" t="s">
        <v>210</v>
      </c>
      <c r="C183" s="2" t="s">
        <v>212</v>
      </c>
      <c r="D183" s="3" t="str">
        <f>HYPERLINK("https://12go.asia/en/travel/thma-puok/battambang", "12Go Link")</f>
        <v>12Go Link</v>
      </c>
      <c r="E183" s="2" t="s">
        <v>25</v>
      </c>
    </row>
    <row r="184">
      <c r="A184" s="2" t="s">
        <v>209</v>
      </c>
      <c r="B184" s="2" t="s">
        <v>213</v>
      </c>
      <c r="C184" s="2" t="s">
        <v>214</v>
      </c>
      <c r="D184" s="3" t="str">
        <f t="shared" ref="D184:D185" si="44">HYPERLINK("https://12go.asia/en/travel/Poipet/Siem-Reap", "12Go Link")</f>
        <v>12Go Link</v>
      </c>
      <c r="E184" s="2" t="s">
        <v>13</v>
      </c>
    </row>
    <row r="185">
      <c r="A185" s="2" t="s">
        <v>209</v>
      </c>
      <c r="B185" s="2" t="s">
        <v>213</v>
      </c>
      <c r="C185" s="2" t="s">
        <v>214</v>
      </c>
      <c r="D185" s="3" t="str">
        <f t="shared" si="44"/>
        <v>12Go Link</v>
      </c>
      <c r="E185" s="2" t="s">
        <v>215</v>
      </c>
    </row>
    <row r="186">
      <c r="A186" s="2" t="s">
        <v>210</v>
      </c>
      <c r="B186" s="2" t="s">
        <v>216</v>
      </c>
      <c r="C186" s="2" t="s">
        <v>217</v>
      </c>
      <c r="D186" s="3" t="str">
        <f>HYPERLINK("https://12go.asia/en/travel/battambang/banteay-chhmar", "12Go Link")</f>
        <v>12Go Link</v>
      </c>
      <c r="E186" s="2" t="s">
        <v>25</v>
      </c>
    </row>
    <row r="187">
      <c r="A187" s="2" t="s">
        <v>210</v>
      </c>
      <c r="B187" s="2" t="s">
        <v>216</v>
      </c>
      <c r="C187" s="2" t="s">
        <v>218</v>
      </c>
      <c r="D187" s="3" t="str">
        <f>HYPERLINK("https://12go.asia/en/travel/battambang/kouk-mon", "12Go Link")</f>
        <v>12Go Link</v>
      </c>
      <c r="E187" s="2" t="s">
        <v>25</v>
      </c>
    </row>
    <row r="188">
      <c r="A188" s="2" t="s">
        <v>219</v>
      </c>
      <c r="B188" s="2" t="s">
        <v>220</v>
      </c>
      <c r="C188" s="2" t="s">
        <v>221</v>
      </c>
      <c r="D188" s="3" t="str">
        <f>HYPERLINK("https://12go.asia/en/travel/bavet/kien-svay", "12Go Link")</f>
        <v>12Go Link</v>
      </c>
      <c r="E188" s="2" t="s">
        <v>25</v>
      </c>
    </row>
    <row r="189">
      <c r="A189" s="2" t="s">
        <v>206</v>
      </c>
      <c r="B189" s="2" t="s">
        <v>222</v>
      </c>
      <c r="C189" s="2" t="s">
        <v>223</v>
      </c>
      <c r="D189" s="3" t="str">
        <f>HYPERLINK("https://12go.asia/en/travel/kampot/kampong-thom", "12Go Link")</f>
        <v>12Go Link</v>
      </c>
      <c r="E189" s="2" t="s">
        <v>25</v>
      </c>
    </row>
    <row r="190">
      <c r="A190" s="2" t="s">
        <v>220</v>
      </c>
      <c r="B190" s="2" t="s">
        <v>205</v>
      </c>
      <c r="C190" s="2" t="s">
        <v>224</v>
      </c>
      <c r="D190" s="3" t="str">
        <f>HYPERLINK("https://12go.asia/en/travel/kien-svay/angk-ta-saom", "12Go Link")</f>
        <v>12Go Link</v>
      </c>
      <c r="E190" s="2" t="s">
        <v>25</v>
      </c>
    </row>
    <row r="191">
      <c r="A191" s="2" t="s">
        <v>225</v>
      </c>
      <c r="B191" s="2" t="s">
        <v>226</v>
      </c>
      <c r="C191" s="2" t="s">
        <v>227</v>
      </c>
      <c r="D191" s="3" t="str">
        <f>HYPERLINK("https://12go.asia/en/travel/dara-sakor/phnom-penh", "12Go Link")</f>
        <v>12Go Link</v>
      </c>
      <c r="E191" s="2" t="s">
        <v>25</v>
      </c>
    </row>
    <row r="192">
      <c r="A192" s="2" t="s">
        <v>228</v>
      </c>
      <c r="B192" s="2" t="s">
        <v>206</v>
      </c>
      <c r="C192" s="2" t="s">
        <v>229</v>
      </c>
      <c r="D192" s="3" t="str">
        <f>HYPERLINK("https://12go.asia/en/travel/Long-Set-Ferry-Pier/Kampot", "12Go Link")</f>
        <v>12Go Link</v>
      </c>
      <c r="E192" s="2" t="s">
        <v>230</v>
      </c>
    </row>
    <row r="193">
      <c r="A193" s="2" t="s">
        <v>228</v>
      </c>
      <c r="B193" s="2" t="s">
        <v>231</v>
      </c>
      <c r="C193" s="2" t="s">
        <v>232</v>
      </c>
      <c r="D193" s="3" t="str">
        <f>HYPERLINK("https://12go.asia/en/travel/Long-Set-Ferry-Pier/Kep", "12Go Link")</f>
        <v>12Go Link</v>
      </c>
      <c r="E193" s="2" t="s">
        <v>230</v>
      </c>
    </row>
    <row r="194">
      <c r="A194" s="2" t="s">
        <v>228</v>
      </c>
      <c r="B194" s="2" t="s">
        <v>228</v>
      </c>
      <c r="C194" s="2" t="s">
        <v>233</v>
      </c>
      <c r="D194" s="3" t="str">
        <f>HYPERLINK("https://12go.asia/en/travel/Koh-Toch-Beach/Long-Set-Beach", "12Go Link")</f>
        <v>12Go Link</v>
      </c>
      <c r="E194" s="2" t="s">
        <v>234</v>
      </c>
    </row>
    <row r="195">
      <c r="A195" s="2" t="s">
        <v>228</v>
      </c>
      <c r="B195" s="2" t="s">
        <v>228</v>
      </c>
      <c r="C195" s="2" t="s">
        <v>235</v>
      </c>
      <c r="D195" s="3" t="str">
        <f>HYPERLINK("https://12go.asia/en/travel/Long-Set-Beach/Koh-Toch-Beach", "12Go Link")</f>
        <v>12Go Link</v>
      </c>
      <c r="E195" s="2" t="s">
        <v>234</v>
      </c>
    </row>
    <row r="196">
      <c r="A196" s="2" t="s">
        <v>228</v>
      </c>
      <c r="B196" s="2" t="s">
        <v>236</v>
      </c>
      <c r="C196" s="2" t="s">
        <v>237</v>
      </c>
      <c r="D196" s="3" t="str">
        <f>HYPERLINK("https://12go.asia/en/travel/Long-Set-Beach/MPai-Bay", "12Go Link")</f>
        <v>12Go Link</v>
      </c>
      <c r="E196" s="2" t="s">
        <v>234</v>
      </c>
    </row>
    <row r="197">
      <c r="A197" s="2" t="s">
        <v>228</v>
      </c>
      <c r="B197" s="2" t="s">
        <v>238</v>
      </c>
      <c r="C197" s="2" t="s">
        <v>239</v>
      </c>
      <c r="D197" s="3" t="str">
        <f>HYPERLINK("https://12go.asia/en/travel/Koh-Rong-Sea-House/Sihanoukville-Romny-Tour-Express", "12Go Link")</f>
        <v>12Go Link</v>
      </c>
      <c r="E197" s="2" t="s">
        <v>240</v>
      </c>
    </row>
    <row r="198">
      <c r="A198" s="2" t="s">
        <v>228</v>
      </c>
      <c r="B198" s="2" t="s">
        <v>238</v>
      </c>
      <c r="C198" s="2" t="s">
        <v>241</v>
      </c>
      <c r="D198" s="3" t="str">
        <f>HYPERLINK("https://12go.asia/en/travel/Koh-Toch-Beach/Sihanoukville-Romny-Tour-Express", "12Go Link")</f>
        <v>12Go Link</v>
      </c>
      <c r="E198" s="2" t="s">
        <v>240</v>
      </c>
    </row>
    <row r="199">
      <c r="A199" s="2" t="s">
        <v>228</v>
      </c>
      <c r="B199" s="2" t="s">
        <v>238</v>
      </c>
      <c r="C199" s="2" t="s">
        <v>242</v>
      </c>
      <c r="D199" s="3" t="str">
        <f>HYPERLINK("https://12go.asia/en/travel/Long-Set-Beach/Sihanoukville-Romny-Tour-Express", "12Go Link")</f>
        <v>12Go Link</v>
      </c>
      <c r="E199" s="2" t="s">
        <v>240</v>
      </c>
    </row>
    <row r="200">
      <c r="A200" s="2" t="s">
        <v>228</v>
      </c>
      <c r="B200" s="2" t="s">
        <v>238</v>
      </c>
      <c r="C200" s="2" t="s">
        <v>243</v>
      </c>
      <c r="D200" s="3" t="str">
        <f>HYPERLINK("https://12go.asia/en/travel/Long-Set-Beach/Speed-Ferry-Cambodia-Sihanoukville", "12Go Link")</f>
        <v>12Go Link</v>
      </c>
      <c r="E200" s="2" t="s">
        <v>240</v>
      </c>
    </row>
    <row r="201">
      <c r="A201" s="2" t="s">
        <v>228</v>
      </c>
      <c r="B201" s="2" t="s">
        <v>244</v>
      </c>
      <c r="C201" s="2" t="s">
        <v>245</v>
      </c>
      <c r="D201" s="3" t="str">
        <f>HYPERLINK("https://12go.asia/en/travel/Long-Set-Ferry-Pier/Long-Xuyen", "12Go Link")</f>
        <v>12Go Link</v>
      </c>
      <c r="E201" s="2" t="s">
        <v>230</v>
      </c>
    </row>
    <row r="202">
      <c r="A202" s="2" t="s">
        <v>228</v>
      </c>
      <c r="B202" s="2" t="s">
        <v>246</v>
      </c>
      <c r="C202" s="2" t="s">
        <v>247</v>
      </c>
      <c r="D202" s="3" t="str">
        <f>HYPERLINK("https://12go.asia/en/travel/Long-Set-Ferry-Pier/Can-Tho", "12Go Link")</f>
        <v>12Go Link</v>
      </c>
      <c r="E202" s="2" t="s">
        <v>230</v>
      </c>
    </row>
    <row r="203">
      <c r="A203" s="2" t="s">
        <v>228</v>
      </c>
      <c r="B203" s="2" t="s">
        <v>248</v>
      </c>
      <c r="C203" s="2" t="s">
        <v>249</v>
      </c>
      <c r="D203" s="3" t="str">
        <f>HYPERLINK("https://12go.asia/en/travel/Long-Set-Ferry-Pier/Chau-Doc", "12Go Link")</f>
        <v>12Go Link</v>
      </c>
      <c r="E203" s="2" t="s">
        <v>230</v>
      </c>
    </row>
    <row r="204">
      <c r="A204" s="2" t="s">
        <v>228</v>
      </c>
      <c r="B204" s="2" t="s">
        <v>250</v>
      </c>
      <c r="C204" s="2" t="s">
        <v>251</v>
      </c>
      <c r="D204" s="3" t="str">
        <f>HYPERLINK("https://12go.asia/en/travel/Long-Set-Ferry-Pier/Ha-Tien-Border", "12Go Link")</f>
        <v>12Go Link</v>
      </c>
      <c r="E204" s="2" t="s">
        <v>230</v>
      </c>
    </row>
    <row r="205">
      <c r="A205" s="2" t="s">
        <v>228</v>
      </c>
      <c r="B205" s="2" t="s">
        <v>250</v>
      </c>
      <c r="C205" s="2" t="s">
        <v>252</v>
      </c>
      <c r="D205" s="3" t="str">
        <f>HYPERLINK("https://12go.asia/en/travel/Long-Set-Ferry-Pier/Ha-Tien-Town", "12Go Link")</f>
        <v>12Go Link</v>
      </c>
      <c r="E205" s="2" t="s">
        <v>230</v>
      </c>
    </row>
    <row r="206">
      <c r="A206" s="2" t="s">
        <v>228</v>
      </c>
      <c r="B206" s="2" t="s">
        <v>253</v>
      </c>
      <c r="C206" s="2" t="s">
        <v>254</v>
      </c>
      <c r="D206" s="3" t="str">
        <f>HYPERLINK("https://12go.asia/en/travel/Long-Set-Ferry-Pier/Ho-Chi-Minh", "12Go Link")</f>
        <v>12Go Link</v>
      </c>
      <c r="E206" s="2" t="s">
        <v>230</v>
      </c>
    </row>
    <row r="207">
      <c r="A207" s="2" t="s">
        <v>228</v>
      </c>
      <c r="B207" s="2" t="s">
        <v>255</v>
      </c>
      <c r="C207" s="2" t="s">
        <v>256</v>
      </c>
      <c r="D207" s="3" t="str">
        <f>HYPERLINK("https://12go.asia/en/travel/Long-Set-Ferry-Pier/Rach-Gia", "12Go Link")</f>
        <v>12Go Link</v>
      </c>
      <c r="E207" s="2" t="s">
        <v>230</v>
      </c>
    </row>
    <row r="208">
      <c r="A208" s="2" t="s">
        <v>228</v>
      </c>
      <c r="B208" s="2" t="s">
        <v>257</v>
      </c>
      <c r="C208" s="2" t="s">
        <v>258</v>
      </c>
      <c r="D208" s="3" t="str">
        <f>HYPERLINK("https://12go.asia/en/travel/Long-Set-Ferry-Pier/Phu-Quoc", "12Go Link")</f>
        <v>12Go Link</v>
      </c>
      <c r="E208" s="2" t="s">
        <v>230</v>
      </c>
    </row>
    <row r="209">
      <c r="A209" s="2" t="s">
        <v>228</v>
      </c>
      <c r="B209" s="2" t="s">
        <v>259</v>
      </c>
      <c r="C209" s="2" t="s">
        <v>260</v>
      </c>
      <c r="D209" s="3" t="str">
        <f>HYPERLINK("https://12go.asia/en/travel/Long-Set-Ferry-Pier/My-Tho", "12Go Link")</f>
        <v>12Go Link</v>
      </c>
      <c r="E209" s="2" t="s">
        <v>230</v>
      </c>
    </row>
    <row r="210">
      <c r="A210" s="2" t="s">
        <v>228</v>
      </c>
      <c r="B210" s="2" t="s">
        <v>261</v>
      </c>
      <c r="C210" s="2" t="s">
        <v>262</v>
      </c>
      <c r="D210" s="3" t="str">
        <f>HYPERLINK("https://12go.asia/en/travel/Long-Set-Ferry-Pier/Vinh-Long", "12Go Link")</f>
        <v>12Go Link</v>
      </c>
      <c r="E210" s="2" t="s">
        <v>230</v>
      </c>
    </row>
    <row r="211">
      <c r="A211" s="2" t="s">
        <v>236</v>
      </c>
      <c r="B211" s="2" t="s">
        <v>228</v>
      </c>
      <c r="C211" s="2" t="s">
        <v>263</v>
      </c>
      <c r="D211" s="3" t="str">
        <f>HYPERLINK("https://12go.asia/en/travel/MPai-Bay/Long-Set-Beach", "12Go Link")</f>
        <v>12Go Link</v>
      </c>
      <c r="E211" s="2" t="s">
        <v>234</v>
      </c>
    </row>
    <row r="212">
      <c r="A212" s="2" t="s">
        <v>236</v>
      </c>
      <c r="B212" s="2" t="s">
        <v>236</v>
      </c>
      <c r="C212" s="2" t="s">
        <v>264</v>
      </c>
      <c r="D212" s="3" t="str">
        <f>HYPERLINK("https://12go.asia/en/travel/MPai-Bay/Soon-Noeng-Port", "12Go Link")</f>
        <v>12Go Link</v>
      </c>
      <c r="E212" s="2" t="s">
        <v>234</v>
      </c>
    </row>
    <row r="213">
      <c r="A213" s="2" t="s">
        <v>236</v>
      </c>
      <c r="B213" s="2" t="s">
        <v>236</v>
      </c>
      <c r="C213" s="2" t="s">
        <v>265</v>
      </c>
      <c r="D213" s="3" t="str">
        <f>HYPERLINK("https://12go.asia/en/travel/Soon-Noeng-Port/MPai-Bay", "12Go Link")</f>
        <v>12Go Link</v>
      </c>
      <c r="E213" s="2" t="s">
        <v>234</v>
      </c>
    </row>
    <row r="214">
      <c r="A214" s="2" t="s">
        <v>236</v>
      </c>
      <c r="B214" s="2" t="s">
        <v>238</v>
      </c>
      <c r="C214" s="2" t="s">
        <v>266</v>
      </c>
      <c r="D214" s="3" t="str">
        <f>HYPERLINK("https://12go.asia/en/travel/Koh-Rong-Samloem/Sihanoukville-Romny-Tour-Express", "12Go Link")</f>
        <v>12Go Link</v>
      </c>
      <c r="E214" s="2" t="s">
        <v>240</v>
      </c>
    </row>
    <row r="215">
      <c r="A215" s="2" t="s">
        <v>267</v>
      </c>
      <c r="B215" s="2" t="s">
        <v>206</v>
      </c>
      <c r="C215" s="2" t="s">
        <v>268</v>
      </c>
      <c r="D215" s="3" t="str">
        <f>HYPERLINK("https://12go.asia/en/travel/Kratie-Bus-Station/Vibol-Express-Kampot", "12Go Link")</f>
        <v>12Go Link</v>
      </c>
      <c r="E215" s="2" t="s">
        <v>269</v>
      </c>
    </row>
    <row r="216">
      <c r="A216" s="2" t="s">
        <v>267</v>
      </c>
      <c r="B216" s="2" t="s">
        <v>238</v>
      </c>
      <c r="C216" s="2" t="s">
        <v>270</v>
      </c>
      <c r="D216" s="3" t="str">
        <f>HYPERLINK("https://12go.asia/en/travel/Kratie-Bus-Station/Sihanoukville-Bus-Terminal", "12Go Link")</f>
        <v>12Go Link</v>
      </c>
      <c r="E216" s="2" t="s">
        <v>269</v>
      </c>
    </row>
    <row r="217">
      <c r="A217" s="2" t="s">
        <v>267</v>
      </c>
      <c r="B217" s="2" t="s">
        <v>271</v>
      </c>
      <c r="C217" s="2" t="s">
        <v>272</v>
      </c>
      <c r="D217" s="3" t="str">
        <f>HYPERLINK("https://12go.asia/en/travel/Kratie-Bus-Station/Trapaingkriel-Border-Checkpoint", "12Go Link")</f>
        <v>12Go Link</v>
      </c>
      <c r="E217" s="2" t="s">
        <v>269</v>
      </c>
    </row>
    <row r="218">
      <c r="A218" s="2" t="s">
        <v>267</v>
      </c>
      <c r="B218" s="2" t="s">
        <v>273</v>
      </c>
      <c r="C218" s="2" t="s">
        <v>274</v>
      </c>
      <c r="D218" s="3" t="str">
        <f>HYPERLINK("https://12go.asia/en/travel/Kratie-Bus-Station/Don-Khone-Pa-Kha-Guesthouse", "12Go Link")</f>
        <v>12Go Link</v>
      </c>
      <c r="E218" s="2" t="s">
        <v>269</v>
      </c>
    </row>
    <row r="219">
      <c r="A219" s="2" t="s">
        <v>267</v>
      </c>
      <c r="B219" s="2" t="s">
        <v>275</v>
      </c>
      <c r="C219" s="2" t="s">
        <v>276</v>
      </c>
      <c r="D219" s="3" t="str">
        <f>HYPERLINK("https://12go.asia/en/travel/Kratie-Bus-Station/Don-Det-Lana-Express", "12Go Link")</f>
        <v>12Go Link</v>
      </c>
      <c r="E219" s="2" t="s">
        <v>269</v>
      </c>
    </row>
    <row r="220">
      <c r="A220" s="2" t="s">
        <v>267</v>
      </c>
      <c r="B220" s="2" t="s">
        <v>277</v>
      </c>
      <c r="C220" s="2" t="s">
        <v>278</v>
      </c>
      <c r="D220" s="3" t="str">
        <f>HYPERLINK("https://12go.asia/en/travel/Kratie-Bus-Station/Nakasang-Paradise-Hotel", "12Go Link")</f>
        <v>12Go Link</v>
      </c>
      <c r="E220" s="2" t="s">
        <v>269</v>
      </c>
    </row>
    <row r="221">
      <c r="A221" s="2" t="s">
        <v>267</v>
      </c>
      <c r="B221" s="2" t="s">
        <v>279</v>
      </c>
      <c r="C221" s="2" t="s">
        <v>280</v>
      </c>
      <c r="D221" s="3" t="str">
        <f>HYPERLINK("https://12go.asia/en/travel/Kratie-Bus-Station/Chitpasong-Bus-Station-Pakse", "12Go Link")</f>
        <v>12Go Link</v>
      </c>
      <c r="E221" s="2" t="s">
        <v>269</v>
      </c>
    </row>
    <row r="222">
      <c r="A222" s="2" t="s">
        <v>267</v>
      </c>
      <c r="B222" s="2" t="s">
        <v>281</v>
      </c>
      <c r="C222" s="2" t="s">
        <v>282</v>
      </c>
      <c r="D222" s="3" t="str">
        <f>HYPERLINK("https://12go.asia/en/travel/Kratie-Bus-Station/Soutchai-Mini-Bus-Station", "12Go Link")</f>
        <v>12Go Link</v>
      </c>
      <c r="E222" s="2" t="s">
        <v>269</v>
      </c>
    </row>
    <row r="223">
      <c r="A223" s="2" t="s">
        <v>283</v>
      </c>
      <c r="B223" s="2" t="s">
        <v>284</v>
      </c>
      <c r="C223" s="2" t="s">
        <v>285</v>
      </c>
      <c r="D223" s="3" t="str">
        <f>HYPERLINK("https://12go.asia/en/travel/mondulkiri/skun", "12Go Link")</f>
        <v>12Go Link</v>
      </c>
      <c r="E223" s="2" t="s">
        <v>25</v>
      </c>
    </row>
    <row r="224">
      <c r="A224" s="2" t="s">
        <v>226</v>
      </c>
      <c r="B224" s="2" t="s">
        <v>216</v>
      </c>
      <c r="C224" s="2" t="s">
        <v>286</v>
      </c>
      <c r="D224" s="3" t="str">
        <f>HYPERLINK("https://12go.asia/en/travel/phnom-penh/banteay-chhmar", "12Go Link")</f>
        <v>12Go Link</v>
      </c>
      <c r="E224" s="2" t="s">
        <v>25</v>
      </c>
    </row>
    <row r="225">
      <c r="A225" s="2" t="s">
        <v>226</v>
      </c>
      <c r="B225" s="2" t="s">
        <v>216</v>
      </c>
      <c r="C225" s="2" t="s">
        <v>287</v>
      </c>
      <c r="D225" s="3" t="str">
        <f>HYPERLINK("https://12go.asia/en/travel/phnom-penh/kouk-mon", "12Go Link")</f>
        <v>12Go Link</v>
      </c>
      <c r="E225" s="2" t="s">
        <v>25</v>
      </c>
    </row>
    <row r="226">
      <c r="A226" s="2" t="s">
        <v>226</v>
      </c>
      <c r="B226" s="2" t="s">
        <v>288</v>
      </c>
      <c r="C226" s="2" t="s">
        <v>289</v>
      </c>
      <c r="D226" s="3" t="str">
        <f>HYPERLINK("https://12go.asia/en/travel/phnom-penh/o-smach", "12Go Link")</f>
        <v>12Go Link</v>
      </c>
      <c r="E226" s="2" t="s">
        <v>25</v>
      </c>
    </row>
    <row r="227">
      <c r="A227" s="2" t="s">
        <v>226</v>
      </c>
      <c r="B227" s="2" t="s">
        <v>290</v>
      </c>
      <c r="C227" s="2" t="s">
        <v>291</v>
      </c>
      <c r="D227" s="3" t="str">
        <f>HYPERLINK("https://12go.asia/en/travel/phnom-penh/tramkhnar", "12Go Link")</f>
        <v>12Go Link</v>
      </c>
      <c r="E227" s="2" t="s">
        <v>25</v>
      </c>
    </row>
    <row r="228">
      <c r="A228" s="2" t="s">
        <v>226</v>
      </c>
      <c r="B228" s="2" t="s">
        <v>279</v>
      </c>
      <c r="C228" s="2" t="s">
        <v>292</v>
      </c>
      <c r="D228" s="3" t="str">
        <f>HYPERLINK("https://12go.asia/en/travel/Phnom-Penh-LANA-Express/Chitpasong-Bus-Station-Pakse", "12Go Link")</f>
        <v>12Go Link</v>
      </c>
      <c r="E228" s="2" t="s">
        <v>269</v>
      </c>
    </row>
    <row r="229">
      <c r="A229" s="2" t="s">
        <v>293</v>
      </c>
      <c r="B229" s="2" t="s">
        <v>222</v>
      </c>
      <c r="C229" s="2" t="s">
        <v>294</v>
      </c>
      <c r="D229" s="3" t="str">
        <f>HYPERLINK("https://12go.asia/en/travel/preah-vihear/kampong-thom", "12Go Link")</f>
        <v>12Go Link</v>
      </c>
      <c r="E229" s="2" t="s">
        <v>25</v>
      </c>
    </row>
    <row r="230">
      <c r="A230" s="2" t="s">
        <v>295</v>
      </c>
      <c r="B230" s="2" t="s">
        <v>271</v>
      </c>
      <c r="C230" s="2" t="s">
        <v>296</v>
      </c>
      <c r="D230" s="3" t="str">
        <f>HYPERLINK("https://12go.asia/en/travel/Banlung-LANA-Express/Trapaingkriel-Border-Checkpoint", "12Go Link")</f>
        <v>12Go Link</v>
      </c>
      <c r="E230" s="2" t="s">
        <v>8</v>
      </c>
    </row>
    <row r="231">
      <c r="A231" s="2" t="s">
        <v>295</v>
      </c>
      <c r="B231" s="2" t="s">
        <v>273</v>
      </c>
      <c r="C231" s="2" t="s">
        <v>297</v>
      </c>
      <c r="D231" s="3" t="str">
        <f>HYPERLINK("https://12go.asia/en/travel/Banlung-LANA-Express/Don-Khone-Pa-Kha-Guesthouse", "12Go Link")</f>
        <v>12Go Link</v>
      </c>
      <c r="E231" s="2" t="s">
        <v>8</v>
      </c>
    </row>
    <row r="232">
      <c r="A232" s="2" t="s">
        <v>295</v>
      </c>
      <c r="B232" s="2" t="s">
        <v>275</v>
      </c>
      <c r="C232" s="2" t="s">
        <v>298</v>
      </c>
      <c r="D232" s="3" t="str">
        <f>HYPERLINK("https://12go.asia/en/travel/Banlung-LANA-Express/Don-Det-Lana-Express", "12Go Link")</f>
        <v>12Go Link</v>
      </c>
      <c r="E232" s="2" t="s">
        <v>8</v>
      </c>
    </row>
    <row r="233">
      <c r="A233" s="2" t="s">
        <v>295</v>
      </c>
      <c r="B233" s="2" t="s">
        <v>277</v>
      </c>
      <c r="C233" s="2" t="s">
        <v>299</v>
      </c>
      <c r="D233" s="3" t="str">
        <f>HYPERLINK("https://12go.asia/en/travel/Banlung-LANA-Express/Nakasang-Paradise-Hotel", "12Go Link")</f>
        <v>12Go Link</v>
      </c>
      <c r="E233" s="2" t="s">
        <v>8</v>
      </c>
    </row>
    <row r="234">
      <c r="A234" s="2" t="s">
        <v>295</v>
      </c>
      <c r="B234" s="2" t="s">
        <v>279</v>
      </c>
      <c r="C234" s="2" t="s">
        <v>300</v>
      </c>
      <c r="D234" s="3" t="str">
        <f>HYPERLINK("https://12go.asia/en/travel/Banlung-LANA-Express/Chitpasong-Bus-Station-Pakse", "12Go Link")</f>
        <v>12Go Link</v>
      </c>
      <c r="E234" s="2" t="s">
        <v>8</v>
      </c>
    </row>
    <row r="235">
      <c r="A235" s="2" t="s">
        <v>213</v>
      </c>
      <c r="B235" s="2" t="s">
        <v>209</v>
      </c>
      <c r="C235" s="2" t="s">
        <v>301</v>
      </c>
      <c r="D235" s="3" t="str">
        <f t="shared" ref="D235:D236" si="45">HYPERLINK("https://12go.asia/en/travel/Siem-Reap/Poipet", "12Go Link")</f>
        <v>12Go Link</v>
      </c>
      <c r="E235" s="2" t="s">
        <v>13</v>
      </c>
    </row>
    <row r="236">
      <c r="A236" s="2" t="s">
        <v>213</v>
      </c>
      <c r="B236" s="2" t="s">
        <v>209</v>
      </c>
      <c r="C236" s="2" t="s">
        <v>301</v>
      </c>
      <c r="D236" s="3" t="str">
        <f t="shared" si="45"/>
        <v>12Go Link</v>
      </c>
      <c r="E236" s="2" t="s">
        <v>215</v>
      </c>
    </row>
    <row r="237">
      <c r="A237" s="2" t="s">
        <v>213</v>
      </c>
      <c r="B237" s="2" t="s">
        <v>302</v>
      </c>
      <c r="C237" s="2" t="s">
        <v>303</v>
      </c>
      <c r="D237" s="3" t="str">
        <f t="shared" ref="D237:D238" si="46">HYPERLINK("https://12go.asia/en/travel/Siem-Reap-Transfer/Pattaya-Transfer", "12Go Link")</f>
        <v>12Go Link</v>
      </c>
      <c r="E237" s="2" t="s">
        <v>13</v>
      </c>
    </row>
    <row r="238">
      <c r="A238" s="2" t="s">
        <v>213</v>
      </c>
      <c r="B238" s="2" t="s">
        <v>302</v>
      </c>
      <c r="C238" s="2" t="s">
        <v>303</v>
      </c>
      <c r="D238" s="3" t="str">
        <f t="shared" si="46"/>
        <v>12Go Link</v>
      </c>
      <c r="E238" s="2" t="s">
        <v>215</v>
      </c>
    </row>
    <row r="239">
      <c r="A239" s="2" t="s">
        <v>238</v>
      </c>
      <c r="B239" s="2" t="s">
        <v>284</v>
      </c>
      <c r="C239" s="2" t="s">
        <v>304</v>
      </c>
      <c r="D239" s="3" t="str">
        <f>HYPERLINK("https://12go.asia/en/travel/sihanoukville/kampong-cham", "12Go Link")</f>
        <v>12Go Link</v>
      </c>
      <c r="E239" s="2" t="s">
        <v>25</v>
      </c>
    </row>
    <row r="240">
      <c r="A240" s="2" t="s">
        <v>238</v>
      </c>
      <c r="B240" s="2" t="s">
        <v>284</v>
      </c>
      <c r="C240" s="2" t="s">
        <v>305</v>
      </c>
      <c r="D240" s="3" t="str">
        <f>HYPERLINK("https://12go.asia/en/travel/sihanoukville/skun", "12Go Link")</f>
        <v>12Go Link</v>
      </c>
      <c r="E240" s="2" t="s">
        <v>25</v>
      </c>
    </row>
    <row r="241">
      <c r="A241" s="2" t="s">
        <v>238</v>
      </c>
      <c r="B241" s="2" t="s">
        <v>228</v>
      </c>
      <c r="C241" s="2" t="s">
        <v>306</v>
      </c>
      <c r="D241" s="3" t="str">
        <f>HYPERLINK("https://12go.asia/en/travel/Sihanoukville-Romny-Tour-Express/Koh-Toch-Beach", "12Go Link")</f>
        <v>12Go Link</v>
      </c>
      <c r="E241" s="2" t="s">
        <v>240</v>
      </c>
    </row>
    <row r="242">
      <c r="A242" s="2" t="s">
        <v>238</v>
      </c>
      <c r="B242" s="2" t="s">
        <v>228</v>
      </c>
      <c r="C242" s="2" t="s">
        <v>307</v>
      </c>
      <c r="D242" s="3" t="str">
        <f>HYPERLINK("https://12go.asia/en/travel/Sihanoukville-Romny-Tour-Express/Long-Set-Beach", "12Go Link")</f>
        <v>12Go Link</v>
      </c>
      <c r="E242" s="2" t="s">
        <v>240</v>
      </c>
    </row>
    <row r="243">
      <c r="A243" s="2" t="s">
        <v>238</v>
      </c>
      <c r="B243" s="2" t="s">
        <v>236</v>
      </c>
      <c r="C243" s="2" t="s">
        <v>308</v>
      </c>
      <c r="D243" s="3" t="str">
        <f>HYPERLINK("https://12go.asia/en/travel/Sihanoukville-Romny-Tour-Express/Koh-Rong-Samloem", "12Go Link")</f>
        <v>12Go Link</v>
      </c>
      <c r="E243" s="2" t="s">
        <v>240</v>
      </c>
    </row>
    <row r="244">
      <c r="A244" s="2" t="s">
        <v>238</v>
      </c>
      <c r="B244" s="2" t="s">
        <v>309</v>
      </c>
      <c r="C244" s="2" t="s">
        <v>310</v>
      </c>
      <c r="D244" s="3" t="str">
        <f>HYPERLINK("https://12go.asia/en/travel/sihanoukville/srae-ambel", "12Go Link")</f>
        <v>12Go Link</v>
      </c>
      <c r="E244" s="2" t="s">
        <v>25</v>
      </c>
    </row>
    <row r="245">
      <c r="A245" s="2" t="s">
        <v>309</v>
      </c>
      <c r="B245" s="2" t="s">
        <v>226</v>
      </c>
      <c r="C245" s="2" t="s">
        <v>311</v>
      </c>
      <c r="D245" s="3" t="str">
        <f>HYPERLINK("https://12go.asia/en/travel/srae-ambel/phnom-penh", "12Go Link")</f>
        <v>12Go Link</v>
      </c>
      <c r="E245" s="2" t="s">
        <v>25</v>
      </c>
    </row>
    <row r="246">
      <c r="A246" s="2" t="s">
        <v>271</v>
      </c>
      <c r="B246" s="2" t="s">
        <v>206</v>
      </c>
      <c r="C246" s="2" t="s">
        <v>312</v>
      </c>
      <c r="D246" s="3" t="str">
        <f>HYPERLINK("https://12go.asia/en/travel/Rithmony-Bus-Stop/Vibol-Express-Kampot", "12Go Link")</f>
        <v>12Go Link</v>
      </c>
      <c r="E246" s="2" t="s">
        <v>269</v>
      </c>
    </row>
    <row r="247">
      <c r="A247" s="2" t="s">
        <v>271</v>
      </c>
      <c r="B247" s="2" t="s">
        <v>238</v>
      </c>
      <c r="C247" s="2" t="s">
        <v>313</v>
      </c>
      <c r="D247" s="3" t="str">
        <f>HYPERLINK("https://12go.asia/en/travel/Rithmony-Bus-Stop/Sihanoukville-Bus-Terminal", "12Go Link")</f>
        <v>12Go Link</v>
      </c>
      <c r="E247" s="2" t="s">
        <v>269</v>
      </c>
    </row>
    <row r="248">
      <c r="A248" s="2" t="s">
        <v>290</v>
      </c>
      <c r="B248" s="2" t="s">
        <v>206</v>
      </c>
      <c r="C248" s="2" t="s">
        <v>314</v>
      </c>
      <c r="D248" s="3" t="str">
        <f>HYPERLINK("https://12go.asia/en/travel/tramkhnar/kampot", "12Go Link")</f>
        <v>12Go Link</v>
      </c>
      <c r="E248" s="2" t="s">
        <v>25</v>
      </c>
    </row>
    <row r="249">
      <c r="A249" s="2" t="s">
        <v>315</v>
      </c>
      <c r="B249" s="2" t="s">
        <v>316</v>
      </c>
      <c r="C249" s="2" t="s">
        <v>317</v>
      </c>
      <c r="D249" s="3" t="str">
        <f>HYPERLINK("https://12go.asia/en/travel/abbotsford-bc/saskatoon", "12Go Link")</f>
        <v>12Go Link</v>
      </c>
      <c r="E249" s="2" t="s">
        <v>77</v>
      </c>
    </row>
    <row r="250">
      <c r="A250" s="2" t="s">
        <v>318</v>
      </c>
      <c r="B250" s="2" t="s">
        <v>319</v>
      </c>
      <c r="C250" s="2" t="s">
        <v>320</v>
      </c>
      <c r="D250" s="3" t="str">
        <f>HYPERLINK("https://12go.asia/en/travel/amherst-ca/moncton", "12Go Link")</f>
        <v>12Go Link</v>
      </c>
      <c r="E250" s="2" t="s">
        <v>77</v>
      </c>
    </row>
    <row r="251">
      <c r="A251" s="2" t="s">
        <v>318</v>
      </c>
      <c r="B251" s="2" t="s">
        <v>321</v>
      </c>
      <c r="C251" s="2" t="s">
        <v>322</v>
      </c>
      <c r="D251" s="3" t="str">
        <f>HYPERLINK("https://12go.asia/en/travel/amherst-ca/montreal", "12Go Link")</f>
        <v>12Go Link</v>
      </c>
      <c r="E251" s="2" t="s">
        <v>77</v>
      </c>
    </row>
    <row r="252">
      <c r="A252" s="2" t="s">
        <v>323</v>
      </c>
      <c r="B252" s="2" t="s">
        <v>324</v>
      </c>
      <c r="C252" s="2" t="s">
        <v>325</v>
      </c>
      <c r="D252" s="3" t="str">
        <f>HYPERLINK("https://12go.asia/en/travel/ashcroft/edmonton", "12Go Link")</f>
        <v>12Go Link</v>
      </c>
      <c r="E252" s="2" t="s">
        <v>77</v>
      </c>
    </row>
    <row r="253">
      <c r="A253" s="2" t="s">
        <v>326</v>
      </c>
      <c r="B253" s="2" t="s">
        <v>327</v>
      </c>
      <c r="C253" s="2" t="s">
        <v>328</v>
      </c>
      <c r="D253" s="3" t="str">
        <f>HYPERLINK("https://12go.asia/en/travel/cornwall-on/toronto", "12Go Link")</f>
        <v>12Go Link</v>
      </c>
      <c r="E253" s="2" t="s">
        <v>77</v>
      </c>
    </row>
    <row r="254">
      <c r="A254" s="2" t="s">
        <v>329</v>
      </c>
      <c r="B254" s="2" t="s">
        <v>45</v>
      </c>
      <c r="C254" s="2" t="s">
        <v>330</v>
      </c>
      <c r="D254" s="3" t="str">
        <f>HYPERLINK("https://12go.asia/en/travel/gilbert-plains/gladstone", "12Go Link")</f>
        <v>12Go Link</v>
      </c>
      <c r="E254" s="2" t="s">
        <v>77</v>
      </c>
    </row>
    <row r="255">
      <c r="A255" s="2" t="s">
        <v>329</v>
      </c>
      <c r="B255" s="2" t="s">
        <v>331</v>
      </c>
      <c r="C255" s="2" t="s">
        <v>332</v>
      </c>
      <c r="D255" s="3" t="str">
        <f>HYPERLINK("https://12go.asia/en/travel/gilbert-plains/gladstone-ca", "12Go Link")</f>
        <v>12Go Link</v>
      </c>
      <c r="E255" s="2" t="s">
        <v>77</v>
      </c>
    </row>
    <row r="256">
      <c r="A256" s="2" t="s">
        <v>329</v>
      </c>
      <c r="B256" s="2" t="s">
        <v>333</v>
      </c>
      <c r="C256" s="2" t="s">
        <v>334</v>
      </c>
      <c r="D256" s="3" t="str">
        <f>HYPERLINK("https://12go.asia/en/travel/gilbert-plains/ochre-river", "12Go Link")</f>
        <v>12Go Link</v>
      </c>
      <c r="E256" s="2" t="s">
        <v>77</v>
      </c>
    </row>
    <row r="257">
      <c r="A257" s="2" t="s">
        <v>329</v>
      </c>
      <c r="B257" s="2" t="s">
        <v>335</v>
      </c>
      <c r="C257" s="2" t="s">
        <v>336</v>
      </c>
      <c r="D257" s="3" t="str">
        <f>HYPERLINK("https://12go.asia/en/travel/gilbert-plains/plumas", "12Go Link")</f>
        <v>12Go Link</v>
      </c>
      <c r="E257" s="2" t="s">
        <v>77</v>
      </c>
    </row>
    <row r="258">
      <c r="A258" s="2" t="s">
        <v>337</v>
      </c>
      <c r="B258" s="2" t="s">
        <v>338</v>
      </c>
      <c r="C258" s="2" t="s">
        <v>339</v>
      </c>
      <c r="D258" s="3" t="str">
        <f>HYPERLINK("https://12go.asia/en/travel/jasper/hinton", "12Go Link")</f>
        <v>12Go Link</v>
      </c>
      <c r="E258" s="2" t="s">
        <v>77</v>
      </c>
    </row>
    <row r="259">
      <c r="A259" s="2" t="s">
        <v>337</v>
      </c>
      <c r="B259" s="2" t="s">
        <v>340</v>
      </c>
      <c r="C259" s="2" t="s">
        <v>341</v>
      </c>
      <c r="D259" s="3" t="str">
        <f>HYPERLINK("https://12go.asia/en/travel/jasper/valemount", "12Go Link")</f>
        <v>12Go Link</v>
      </c>
      <c r="E259" s="2" t="s">
        <v>77</v>
      </c>
    </row>
    <row r="260">
      <c r="A260" s="2" t="s">
        <v>342</v>
      </c>
      <c r="B260" s="2" t="s">
        <v>321</v>
      </c>
      <c r="C260" s="2" t="s">
        <v>343</v>
      </c>
      <c r="D260" s="3" t="str">
        <f>HYPERLINK("https://12go.asia/en/travel/oshawa/dorval", "12Go Link")</f>
        <v>12Go Link</v>
      </c>
      <c r="E260" s="2" t="s">
        <v>77</v>
      </c>
    </row>
    <row r="261">
      <c r="A261" s="2" t="s">
        <v>344</v>
      </c>
      <c r="B261" s="2" t="s">
        <v>345</v>
      </c>
      <c r="C261" s="2" t="s">
        <v>346</v>
      </c>
      <c r="D261" s="3" t="str">
        <f>HYPERLINK("https://12go.asia/en/travel/portage-la-prairie/watrous", "12Go Link")</f>
        <v>12Go Link</v>
      </c>
      <c r="E261" s="2" t="s">
        <v>77</v>
      </c>
    </row>
    <row r="262">
      <c r="A262" s="2" t="s">
        <v>347</v>
      </c>
      <c r="B262" s="2" t="s">
        <v>345</v>
      </c>
      <c r="C262" s="2" t="s">
        <v>348</v>
      </c>
      <c r="D262" s="3" t="str">
        <f>HYPERLINK("https://12go.asia/en/travel/southport-airport/watrous", "12Go Link")</f>
        <v>12Go Link</v>
      </c>
      <c r="E262" s="2" t="s">
        <v>77</v>
      </c>
    </row>
    <row r="263">
      <c r="A263" s="2" t="s">
        <v>349</v>
      </c>
      <c r="B263" s="2" t="s">
        <v>350</v>
      </c>
      <c r="C263" s="2" t="s">
        <v>351</v>
      </c>
      <c r="D263" s="3" t="str">
        <f>HYPERLINK("https://12go.asia/en/travel/st-marys/strathroy", "12Go Link")</f>
        <v>12Go Link</v>
      </c>
      <c r="E263" s="2" t="s">
        <v>77</v>
      </c>
    </row>
    <row r="264">
      <c r="A264" s="2" t="s">
        <v>349</v>
      </c>
      <c r="B264" s="2" t="s">
        <v>352</v>
      </c>
      <c r="C264" s="2" t="s">
        <v>353</v>
      </c>
      <c r="D264" s="3" t="str">
        <f>HYPERLINK("https://12go.asia/en/travel/st-marys/wyoming", "12Go Link")</f>
        <v>12Go Link</v>
      </c>
      <c r="E264" s="2" t="s">
        <v>77</v>
      </c>
    </row>
    <row r="265">
      <c r="A265" s="2" t="s">
        <v>349</v>
      </c>
      <c r="B265" s="2" t="s">
        <v>352</v>
      </c>
      <c r="C265" s="2" t="s">
        <v>354</v>
      </c>
      <c r="D265" s="3" t="str">
        <f>HYPERLINK("https://12go.asia/en/travel/st-marys/wyoming-ca", "12Go Link")</f>
        <v>12Go Link</v>
      </c>
      <c r="E265" s="2" t="s">
        <v>77</v>
      </c>
    </row>
    <row r="266">
      <c r="A266" s="2" t="s">
        <v>355</v>
      </c>
      <c r="B266" s="2" t="s">
        <v>356</v>
      </c>
      <c r="C266" s="2" t="s">
        <v>357</v>
      </c>
      <c r="D266" s="3" t="str">
        <f>HYPERLINK("https://12go.asia/en/travel/saint-tite/riviere-a-pierre", "12Go Link")</f>
        <v>12Go Link</v>
      </c>
      <c r="E266" s="2" t="s">
        <v>77</v>
      </c>
    </row>
    <row r="267">
      <c r="A267" s="2" t="s">
        <v>355</v>
      </c>
      <c r="B267" s="2" t="s">
        <v>356</v>
      </c>
      <c r="C267" s="2" t="s">
        <v>358</v>
      </c>
      <c r="D267" s="3" t="str">
        <f>HYPERLINK("https://12go.asia/en/travel/st-tite/riviere-a-pierre", "12Go Link")</f>
        <v>12Go Link</v>
      </c>
      <c r="E267" s="2" t="s">
        <v>77</v>
      </c>
    </row>
    <row r="268">
      <c r="A268" s="2" t="s">
        <v>350</v>
      </c>
      <c r="B268" s="2" t="s">
        <v>359</v>
      </c>
      <c r="C268" s="2" t="s">
        <v>360</v>
      </c>
      <c r="D268" s="3" t="str">
        <f>HYPERLINK("https://12go.asia/en/travel/strathroy/brampton", "12Go Link")</f>
        <v>12Go Link</v>
      </c>
      <c r="E268" s="2" t="s">
        <v>77</v>
      </c>
    </row>
    <row r="269">
      <c r="A269" s="2" t="s">
        <v>361</v>
      </c>
      <c r="B269" s="2" t="s">
        <v>362</v>
      </c>
      <c r="C269" s="2" t="s">
        <v>363</v>
      </c>
      <c r="D269" s="3" t="str">
        <f>HYPERLINK("https://12go.asia/en/travel/sudbury/larchwood", "12Go Link")</f>
        <v>12Go Link</v>
      </c>
      <c r="E269" s="2" t="s">
        <v>77</v>
      </c>
    </row>
    <row r="270">
      <c r="A270" s="2" t="s">
        <v>361</v>
      </c>
      <c r="B270" s="2" t="s">
        <v>364</v>
      </c>
      <c r="C270" s="2" t="s">
        <v>365</v>
      </c>
      <c r="D270" s="3" t="str">
        <f>HYPERLINK("https://12go.asia/en/travel/sudbury/missanabie", "12Go Link")</f>
        <v>12Go Link</v>
      </c>
      <c r="E270" s="2" t="s">
        <v>77</v>
      </c>
    </row>
    <row r="271">
      <c r="A271" s="2" t="s">
        <v>361</v>
      </c>
      <c r="B271" s="2" t="s">
        <v>364</v>
      </c>
      <c r="C271" s="2" t="s">
        <v>366</v>
      </c>
      <c r="D271" s="3" t="str">
        <f>HYPERLINK("https://12go.asia/en/travel/sudbury/missanable", "12Go Link")</f>
        <v>12Go Link</v>
      </c>
      <c r="E271" s="2" t="s">
        <v>77</v>
      </c>
    </row>
    <row r="272">
      <c r="A272" s="2" t="s">
        <v>367</v>
      </c>
      <c r="B272" s="2" t="s">
        <v>368</v>
      </c>
      <c r="C272" s="2" t="s">
        <v>369</v>
      </c>
      <c r="D272" s="3" t="str">
        <f>HYPERLINK("https://12go.asia/en/travel/aksu/gansu", "12Go Link")</f>
        <v>12Go Link</v>
      </c>
      <c r="E272" s="2" t="s">
        <v>77</v>
      </c>
    </row>
    <row r="273">
      <c r="A273" s="2" t="s">
        <v>367</v>
      </c>
      <c r="B273" s="2" t="s">
        <v>370</v>
      </c>
      <c r="C273" s="2" t="s">
        <v>371</v>
      </c>
      <c r="D273" s="3" t="str">
        <f>HYPERLINK("https://12go.asia/en/travel/aksu/lanzhou", "12Go Link")</f>
        <v>12Go Link</v>
      </c>
      <c r="E273" s="2" t="s">
        <v>77</v>
      </c>
    </row>
    <row r="274">
      <c r="A274" s="2" t="s">
        <v>367</v>
      </c>
      <c r="B274" s="2" t="s">
        <v>372</v>
      </c>
      <c r="C274" s="2" t="s">
        <v>373</v>
      </c>
      <c r="D274" s="3" t="str">
        <f>HYPERLINK("https://12go.asia/en/travel/aksu/longnan", "12Go Link")</f>
        <v>12Go Link</v>
      </c>
      <c r="E274" s="2" t="s">
        <v>77</v>
      </c>
    </row>
    <row r="275">
      <c r="A275" s="2" t="s">
        <v>367</v>
      </c>
      <c r="B275" s="2" t="s">
        <v>372</v>
      </c>
      <c r="C275" s="2" t="s">
        <v>374</v>
      </c>
      <c r="D275" s="3" t="str">
        <f>HYPERLINK("https://12go.asia/en/travel/aksu/longnan-gansu", "12Go Link")</f>
        <v>12Go Link</v>
      </c>
      <c r="E275" s="2" t="s">
        <v>77</v>
      </c>
    </row>
    <row r="276">
      <c r="A276" s="2" t="s">
        <v>375</v>
      </c>
      <c r="B276" s="2" t="s">
        <v>376</v>
      </c>
      <c r="C276" s="2" t="s">
        <v>377</v>
      </c>
      <c r="D276" s="3" t="str">
        <f>HYPERLINK("https://12go.asia/en/travel/alihe/heilongjiang", "12Go Link")</f>
        <v>12Go Link</v>
      </c>
      <c r="E276" s="2" t="s">
        <v>77</v>
      </c>
    </row>
    <row r="277">
      <c r="A277" s="2" t="s">
        <v>375</v>
      </c>
      <c r="B277" s="2" t="s">
        <v>378</v>
      </c>
      <c r="C277" s="2" t="s">
        <v>379</v>
      </c>
      <c r="D277" s="3" t="str">
        <f>HYPERLINK("https://12go.asia/en/travel/alihe/xunxian", "12Go Link")</f>
        <v>12Go Link</v>
      </c>
      <c r="E277" s="2" t="s">
        <v>77</v>
      </c>
    </row>
    <row r="278">
      <c r="A278" s="2" t="s">
        <v>380</v>
      </c>
      <c r="B278" s="2" t="s">
        <v>381</v>
      </c>
      <c r="C278" s="2" t="s">
        <v>382</v>
      </c>
      <c r="D278" s="3" t="str">
        <f>HYPERLINK("https://12go.asia/en/travel/anhui/pujiangzhen", "12Go Link")</f>
        <v>12Go Link</v>
      </c>
      <c r="E278" s="2" t="s">
        <v>77</v>
      </c>
    </row>
    <row r="279">
      <c r="A279" s="2" t="s">
        <v>383</v>
      </c>
      <c r="B279" s="2" t="s">
        <v>384</v>
      </c>
      <c r="C279" s="2" t="s">
        <v>385</v>
      </c>
      <c r="D279" s="3" t="str">
        <f>HYPERLINK("https://12go.asia/en/travel/anshan-west/beipiao", "12Go Link")</f>
        <v>12Go Link</v>
      </c>
      <c r="E279" s="2" t="s">
        <v>77</v>
      </c>
    </row>
    <row r="280">
      <c r="A280" s="2" t="s">
        <v>383</v>
      </c>
      <c r="B280" s="2" t="s">
        <v>384</v>
      </c>
      <c r="C280" s="2" t="s">
        <v>386</v>
      </c>
      <c r="D280" s="3" t="str">
        <f>HYPERLINK("https://12go.asia/en/travel/anshan-west/liaoning-chaoyang", "12Go Link")</f>
        <v>12Go Link</v>
      </c>
      <c r="E280" s="2" t="s">
        <v>77</v>
      </c>
    </row>
    <row r="281">
      <c r="A281" s="2" t="s">
        <v>383</v>
      </c>
      <c r="B281" s="2" t="s">
        <v>384</v>
      </c>
      <c r="C281" s="2" t="s">
        <v>387</v>
      </c>
      <c r="D281" s="3" t="str">
        <f>HYPERLINK("https://12go.asia/en/travel/anshan/chaoyang-liaoning", "12Go Link")</f>
        <v>12Go Link</v>
      </c>
      <c r="E281" s="2" t="s">
        <v>77</v>
      </c>
    </row>
    <row r="282">
      <c r="A282" s="2" t="s">
        <v>383</v>
      </c>
      <c r="B282" s="2" t="s">
        <v>388</v>
      </c>
      <c r="C282" s="2" t="s">
        <v>389</v>
      </c>
      <c r="D282" s="3" t="str">
        <f>HYPERLINK("https://12go.asia/en/travel/anshan-west/beijing-chaoyang", "12Go Link")</f>
        <v>12Go Link</v>
      </c>
      <c r="E282" s="2" t="s">
        <v>77</v>
      </c>
    </row>
    <row r="283">
      <c r="A283" s="2" t="s">
        <v>383</v>
      </c>
      <c r="B283" s="2" t="s">
        <v>388</v>
      </c>
      <c r="C283" s="2" t="s">
        <v>390</v>
      </c>
      <c r="D283" s="3" t="str">
        <f>HYPERLINK("https://12go.asia/en/travel/anshan/tacheng", "12Go Link")</f>
        <v>12Go Link</v>
      </c>
      <c r="E283" s="2" t="s">
        <v>77</v>
      </c>
    </row>
    <row r="284">
      <c r="A284" s="2" t="s">
        <v>391</v>
      </c>
      <c r="B284" s="2" t="s">
        <v>392</v>
      </c>
      <c r="C284" s="2" t="s">
        <v>393</v>
      </c>
      <c r="D284" s="3" t="str">
        <f>HYPERLINK("https://12go.asia/en/travel/anyang-east/changzhou-north", "12Go Link")</f>
        <v>12Go Link</v>
      </c>
      <c r="E284" s="2" t="s">
        <v>77</v>
      </c>
    </row>
    <row r="285">
      <c r="A285" s="2" t="s">
        <v>391</v>
      </c>
      <c r="B285" s="2" t="s">
        <v>392</v>
      </c>
      <c r="C285" s="2" t="s">
        <v>394</v>
      </c>
      <c r="D285" s="3" t="str">
        <f>HYPERLINK("https://12go.asia/en/travel/anyang/changzhou", "12Go Link")</f>
        <v>12Go Link</v>
      </c>
      <c r="E285" s="2" t="s">
        <v>77</v>
      </c>
    </row>
    <row r="286">
      <c r="A286" s="2" t="s">
        <v>391</v>
      </c>
      <c r="B286" s="2" t="s">
        <v>395</v>
      </c>
      <c r="C286" s="2" t="s">
        <v>396</v>
      </c>
      <c r="D286" s="3" t="str">
        <f>HYPERLINK("https://12go.asia/en/travel/anyang/urumqi", "12Go Link")</f>
        <v>12Go Link</v>
      </c>
      <c r="E286" s="2" t="s">
        <v>77</v>
      </c>
    </row>
    <row r="287">
      <c r="A287" s="2" t="s">
        <v>391</v>
      </c>
      <c r="B287" s="2" t="s">
        <v>397</v>
      </c>
      <c r="C287" s="2" t="s">
        <v>398</v>
      </c>
      <c r="D287" s="3" t="str">
        <f>HYPERLINK("https://12go.asia/en/travel/anyang-east/xiangyang-east", "12Go Link")</f>
        <v>12Go Link</v>
      </c>
      <c r="E287" s="2" t="s">
        <v>77</v>
      </c>
    </row>
    <row r="288">
      <c r="A288" s="2" t="s">
        <v>391</v>
      </c>
      <c r="B288" s="2" t="s">
        <v>397</v>
      </c>
      <c r="C288" s="2" t="s">
        <v>399</v>
      </c>
      <c r="D288" s="3" t="str">
        <f>HYPERLINK("https://12go.asia/en/travel/anyang/xiangyang", "12Go Link")</f>
        <v>12Go Link</v>
      </c>
      <c r="E288" s="2" t="s">
        <v>77</v>
      </c>
    </row>
    <row r="289">
      <c r="A289" s="2" t="s">
        <v>391</v>
      </c>
      <c r="B289" s="2" t="s">
        <v>400</v>
      </c>
      <c r="C289" s="2" t="s">
        <v>401</v>
      </c>
      <c r="D289" s="3" t="str">
        <f>HYPERLINK("https://12go.asia/en/travel/anyang/xinjiang", "12Go Link")</f>
        <v>12Go Link</v>
      </c>
      <c r="E289" s="2" t="s">
        <v>77</v>
      </c>
    </row>
    <row r="290">
      <c r="A290" s="2" t="s">
        <v>402</v>
      </c>
      <c r="B290" s="2" t="s">
        <v>388</v>
      </c>
      <c r="C290" s="2" t="s">
        <v>403</v>
      </c>
      <c r="D290" s="3" t="str">
        <f>HYPERLINK("https://12go.asia/en/travel/baoding-east/beijing-chaoyang", "12Go Link")</f>
        <v>12Go Link</v>
      </c>
      <c r="E290" s="2" t="s">
        <v>77</v>
      </c>
    </row>
    <row r="291">
      <c r="A291" s="2" t="s">
        <v>402</v>
      </c>
      <c r="B291" s="2" t="s">
        <v>388</v>
      </c>
      <c r="C291" s="2" t="s">
        <v>404</v>
      </c>
      <c r="D291" s="3" t="str">
        <f>HYPERLINK("https://12go.asia/en/travel/baoding/tacheng", "12Go Link")</f>
        <v>12Go Link</v>
      </c>
      <c r="E291" s="2" t="s">
        <v>77</v>
      </c>
    </row>
    <row r="292">
      <c r="A292" s="2" t="s">
        <v>402</v>
      </c>
      <c r="B292" s="2" t="s">
        <v>405</v>
      </c>
      <c r="C292" s="2" t="s">
        <v>406</v>
      </c>
      <c r="D292" s="3" t="str">
        <f>HYPERLINK("https://12go.asia/en/travel/baoding/zhangjiakou", "12Go Link")</f>
        <v>12Go Link</v>
      </c>
      <c r="E292" s="2" t="s">
        <v>77</v>
      </c>
    </row>
    <row r="293">
      <c r="A293" s="2" t="s">
        <v>407</v>
      </c>
      <c r="B293" s="2" t="s">
        <v>408</v>
      </c>
      <c r="C293" s="2" t="s">
        <v>409</v>
      </c>
      <c r="D293" s="3" t="str">
        <f>HYPERLINK("https://12go.asia/en/travel/baotou-east/chengdu-west", "12Go Link")</f>
        <v>12Go Link</v>
      </c>
      <c r="E293" s="2" t="s">
        <v>77</v>
      </c>
    </row>
    <row r="294">
      <c r="A294" s="2" t="s">
        <v>407</v>
      </c>
      <c r="B294" s="2" t="s">
        <v>410</v>
      </c>
      <c r="C294" s="2" t="s">
        <v>411</v>
      </c>
      <c r="D294" s="3" t="str">
        <f>HYPERLINK("https://12go.asia/en/travel/baotou/erenhot", "12Go Link")</f>
        <v>12Go Link</v>
      </c>
      <c r="E294" s="2" t="s">
        <v>77</v>
      </c>
    </row>
    <row r="295">
      <c r="A295" s="2" t="s">
        <v>407</v>
      </c>
      <c r="B295" s="2" t="s">
        <v>412</v>
      </c>
      <c r="C295" s="2" t="s">
        <v>413</v>
      </c>
      <c r="D295" s="3" t="str">
        <f>HYPERLINK("https://12go.asia/en/travel/baotou/gaocheng", "12Go Link")</f>
        <v>12Go Link</v>
      </c>
      <c r="E295" s="2" t="s">
        <v>77</v>
      </c>
    </row>
    <row r="296">
      <c r="A296" s="2" t="s">
        <v>407</v>
      </c>
      <c r="B296" s="2" t="s">
        <v>412</v>
      </c>
      <c r="C296" s="2" t="s">
        <v>414</v>
      </c>
      <c r="D296" s="3" t="str">
        <f>HYPERLINK("https://12go.asia/en/travel/baotou/gaocheng-south", "12Go Link")</f>
        <v>12Go Link</v>
      </c>
      <c r="E296" s="2" t="s">
        <v>77</v>
      </c>
    </row>
    <row r="297">
      <c r="A297" s="2" t="s">
        <v>407</v>
      </c>
      <c r="B297" s="2" t="s">
        <v>415</v>
      </c>
      <c r="C297" s="2" t="s">
        <v>416</v>
      </c>
      <c r="D297" s="3" t="str">
        <f>HYPERLINK("https://12go.asia/en/travel/baotou/guzhang", "12Go Link")</f>
        <v>12Go Link</v>
      </c>
      <c r="E297" s="2" t="s">
        <v>77</v>
      </c>
    </row>
    <row r="298">
      <c r="A298" s="2" t="s">
        <v>407</v>
      </c>
      <c r="B298" s="2" t="s">
        <v>370</v>
      </c>
      <c r="C298" s="2" t="s">
        <v>417</v>
      </c>
      <c r="D298" s="3" t="str">
        <f>HYPERLINK("https://12go.asia/en/travel/baotou/lanzhou-west", "12Go Link")</f>
        <v>12Go Link</v>
      </c>
      <c r="E298" s="2" t="s">
        <v>77</v>
      </c>
    </row>
    <row r="299">
      <c r="A299" s="2" t="s">
        <v>407</v>
      </c>
      <c r="B299" s="2" t="s">
        <v>418</v>
      </c>
      <c r="C299" s="2" t="s">
        <v>419</v>
      </c>
      <c r="D299" s="3" t="str">
        <f>HYPERLINK("https://12go.asia/en/travel/baotou/shijiazhuang", "12Go Link")</f>
        <v>12Go Link</v>
      </c>
      <c r="E299" s="2" t="s">
        <v>77</v>
      </c>
    </row>
    <row r="300">
      <c r="A300" s="2" t="s">
        <v>407</v>
      </c>
      <c r="B300" s="2" t="s">
        <v>420</v>
      </c>
      <c r="C300" s="2" t="s">
        <v>421</v>
      </c>
      <c r="D300" s="3" t="str">
        <f>HYPERLINK("https://12go.asia/en/travel/baotou/shanghai-songjiang", "12Go Link")</f>
        <v>12Go Link</v>
      </c>
      <c r="E300" s="2" t="s">
        <v>77</v>
      </c>
    </row>
    <row r="301">
      <c r="A301" s="2" t="s">
        <v>407</v>
      </c>
      <c r="B301" s="2" t="s">
        <v>420</v>
      </c>
      <c r="C301" s="2" t="s">
        <v>422</v>
      </c>
      <c r="D301" s="3" t="str">
        <f>HYPERLINK("https://12go.asia/en/travel/baotou/songjiang-shanghai", "12Go Link")</f>
        <v>12Go Link</v>
      </c>
      <c r="E301" s="2" t="s">
        <v>77</v>
      </c>
    </row>
    <row r="302">
      <c r="A302" s="2" t="s">
        <v>407</v>
      </c>
      <c r="B302" s="2" t="s">
        <v>423</v>
      </c>
      <c r="C302" s="2" t="s">
        <v>424</v>
      </c>
      <c r="D302" s="3" t="str">
        <f>HYPERLINK("https://12go.asia/en/travel/baotou/weifang", "12Go Link")</f>
        <v>12Go Link</v>
      </c>
      <c r="E302" s="2" t="s">
        <v>77</v>
      </c>
    </row>
    <row r="303">
      <c r="A303" s="2" t="s">
        <v>407</v>
      </c>
      <c r="B303" s="2" t="s">
        <v>425</v>
      </c>
      <c r="C303" s="2" t="s">
        <v>426</v>
      </c>
      <c r="D303" s="3" t="str">
        <f>HYPERLINK("https://12go.asia/en/travel/baotou/xigu", "12Go Link")</f>
        <v>12Go Link</v>
      </c>
      <c r="E303" s="2" t="s">
        <v>77</v>
      </c>
    </row>
    <row r="304">
      <c r="A304" s="2" t="s">
        <v>407</v>
      </c>
      <c r="B304" s="2" t="s">
        <v>427</v>
      </c>
      <c r="C304" s="2" t="s">
        <v>428</v>
      </c>
      <c r="D304" s="3" t="str">
        <f>HYPERLINK("https://12go.asia/en/travel/baotou-east/xining", "12Go Link")</f>
        <v>12Go Link</v>
      </c>
      <c r="E304" s="2" t="s">
        <v>77</v>
      </c>
    </row>
    <row r="305">
      <c r="A305" s="2" t="s">
        <v>407</v>
      </c>
      <c r="B305" s="2" t="s">
        <v>429</v>
      </c>
      <c r="C305" s="2" t="s">
        <v>430</v>
      </c>
      <c r="D305" s="3" t="str">
        <f>HYPERLINK("https://12go.asia/en/travel/baotou/xishui", "12Go Link")</f>
        <v>12Go Link</v>
      </c>
      <c r="E305" s="2" t="s">
        <v>77</v>
      </c>
    </row>
    <row r="306">
      <c r="A306" s="2" t="s">
        <v>431</v>
      </c>
      <c r="B306" s="2" t="s">
        <v>408</v>
      </c>
      <c r="C306" s="2" t="s">
        <v>432</v>
      </c>
      <c r="D306" s="3" t="str">
        <f>HYPERLINK("https://12go.asia/en/travel/bayannur/chengdu", "12Go Link")</f>
        <v>12Go Link</v>
      </c>
      <c r="E306" s="2" t="s">
        <v>77</v>
      </c>
    </row>
    <row r="307">
      <c r="A307" s="2" t="s">
        <v>431</v>
      </c>
      <c r="B307" s="2" t="s">
        <v>408</v>
      </c>
      <c r="C307" s="2" t="s">
        <v>433</v>
      </c>
      <c r="D307" s="3" t="str">
        <f>HYPERLINK("https://12go.asia/en/travel/bayannur/chengdu-west", "12Go Link")</f>
        <v>12Go Link</v>
      </c>
      <c r="E307" s="2" t="s">
        <v>77</v>
      </c>
    </row>
    <row r="308">
      <c r="A308" s="2" t="s">
        <v>431</v>
      </c>
      <c r="B308" s="2" t="s">
        <v>434</v>
      </c>
      <c r="C308" s="2" t="s">
        <v>435</v>
      </c>
      <c r="D308" s="3" t="str">
        <f>HYPERLINK("https://12go.asia/en/travel/bayannur/hohhot-east", "12Go Link")</f>
        <v>12Go Link</v>
      </c>
      <c r="E308" s="2" t="s">
        <v>77</v>
      </c>
    </row>
    <row r="309">
      <c r="A309" s="2" t="s">
        <v>431</v>
      </c>
      <c r="B309" s="2" t="s">
        <v>436</v>
      </c>
      <c r="C309" s="2" t="s">
        <v>437</v>
      </c>
      <c r="D309" s="3" t="str">
        <f>HYPERLINK("https://12go.asia/en/travel/bayannur/taian", "12Go Link")</f>
        <v>12Go Link</v>
      </c>
      <c r="E309" s="2" t="s">
        <v>77</v>
      </c>
    </row>
    <row r="310">
      <c r="A310" s="2" t="s">
        <v>438</v>
      </c>
      <c r="B310" s="2" t="s">
        <v>439</v>
      </c>
      <c r="C310" s="2" t="s">
        <v>440</v>
      </c>
      <c r="D310" s="3" t="str">
        <f>HYPERLINK("https://12go.asia/en/travel/beidaihe/binhai", "12Go Link")</f>
        <v>12Go Link</v>
      </c>
      <c r="E310" s="2" t="s">
        <v>77</v>
      </c>
    </row>
    <row r="311">
      <c r="A311" s="2" t="s">
        <v>438</v>
      </c>
      <c r="B311" s="2" t="s">
        <v>439</v>
      </c>
      <c r="C311" s="2" t="s">
        <v>441</v>
      </c>
      <c r="D311" s="3" t="str">
        <f>HYPERLINK("https://12go.asia/en/travel/beidaihe/binhai-west", "12Go Link")</f>
        <v>12Go Link</v>
      </c>
      <c r="E311" s="2" t="s">
        <v>77</v>
      </c>
    </row>
    <row r="312">
      <c r="A312" s="2" t="s">
        <v>438</v>
      </c>
      <c r="B312" s="2" t="s">
        <v>442</v>
      </c>
      <c r="C312" s="2" t="s">
        <v>443</v>
      </c>
      <c r="D312" s="3" t="str">
        <f>HYPERLINK("https://12go.asia/en/travel/beidaihe/cangzhou", "12Go Link")</f>
        <v>12Go Link</v>
      </c>
      <c r="E312" s="2" t="s">
        <v>77</v>
      </c>
    </row>
    <row r="313">
      <c r="A313" s="2" t="s">
        <v>438</v>
      </c>
      <c r="B313" s="2" t="s">
        <v>444</v>
      </c>
      <c r="C313" s="2" t="s">
        <v>445</v>
      </c>
      <c r="D313" s="3" t="str">
        <f>HYPERLINK("https://12go.asia/en/travel/beidaihe/handan", "12Go Link")</f>
        <v>12Go Link</v>
      </c>
      <c r="E313" s="2" t="s">
        <v>77</v>
      </c>
    </row>
    <row r="314">
      <c r="A314" s="2" t="s">
        <v>438</v>
      </c>
      <c r="B314" s="2" t="s">
        <v>444</v>
      </c>
      <c r="C314" s="2" t="s">
        <v>446</v>
      </c>
      <c r="D314" s="3" t="str">
        <f>HYPERLINK("https://12go.asia/en/travel/beidaihe/handan-east", "12Go Link")</f>
        <v>12Go Link</v>
      </c>
      <c r="E314" s="2" t="s">
        <v>77</v>
      </c>
    </row>
    <row r="315">
      <c r="A315" s="2" t="s">
        <v>438</v>
      </c>
      <c r="B315" s="2" t="s">
        <v>376</v>
      </c>
      <c r="C315" s="2" t="s">
        <v>447</v>
      </c>
      <c r="D315" s="3" t="str">
        <f>HYPERLINK("https://12go.asia/en/travel/beidaihe/heilongjiang", "12Go Link")</f>
        <v>12Go Link</v>
      </c>
      <c r="E315" s="2" t="s">
        <v>77</v>
      </c>
    </row>
    <row r="316">
      <c r="A316" s="2" t="s">
        <v>438</v>
      </c>
      <c r="B316" s="2" t="s">
        <v>448</v>
      </c>
      <c r="C316" s="2" t="s">
        <v>449</v>
      </c>
      <c r="D316" s="3" t="str">
        <f>HYPERLINK("https://12go.asia/en/travel/beidaihe/huludao", "12Go Link")</f>
        <v>12Go Link</v>
      </c>
      <c r="E316" s="2" t="s">
        <v>77</v>
      </c>
    </row>
    <row r="317">
      <c r="A317" s="2" t="s">
        <v>438</v>
      </c>
      <c r="B317" s="2" t="s">
        <v>450</v>
      </c>
      <c r="C317" s="2" t="s">
        <v>451</v>
      </c>
      <c r="D317" s="3" t="str">
        <f>HYPERLINK("https://12go.asia/en/travel/beidaihe/jiangning", "12Go Link")</f>
        <v>12Go Link</v>
      </c>
      <c r="E317" s="2" t="s">
        <v>77</v>
      </c>
    </row>
    <row r="318">
      <c r="A318" s="2" t="s">
        <v>438</v>
      </c>
      <c r="B318" s="2" t="s">
        <v>452</v>
      </c>
      <c r="C318" s="2" t="s">
        <v>453</v>
      </c>
      <c r="D318" s="3" t="str">
        <f>HYPERLINK("https://12go.asia/en/travel/beidaihe/jiangsu", "12Go Link")</f>
        <v>12Go Link</v>
      </c>
      <c r="E318" s="2" t="s">
        <v>77</v>
      </c>
    </row>
    <row r="319">
      <c r="A319" s="2" t="s">
        <v>438</v>
      </c>
      <c r="B319" s="2" t="s">
        <v>454</v>
      </c>
      <c r="C319" s="2" t="s">
        <v>455</v>
      </c>
      <c r="D319" s="3" t="str">
        <f>HYPERLINK("https://12go.asia/en/travel/beidaihe/nanjing", "12Go Link")</f>
        <v>12Go Link</v>
      </c>
      <c r="E319" s="2" t="s">
        <v>77</v>
      </c>
    </row>
    <row r="320">
      <c r="A320" s="2" t="s">
        <v>438</v>
      </c>
      <c r="B320" s="2" t="s">
        <v>454</v>
      </c>
      <c r="C320" s="2" t="s">
        <v>456</v>
      </c>
      <c r="D320" s="3" t="str">
        <f>HYPERLINK("https://12go.asia/en/travel/beidaihe/nanjing-south", "12Go Link")</f>
        <v>12Go Link</v>
      </c>
      <c r="E320" s="2" t="s">
        <v>77</v>
      </c>
    </row>
    <row r="321">
      <c r="A321" s="2" t="s">
        <v>438</v>
      </c>
      <c r="B321" s="2" t="s">
        <v>457</v>
      </c>
      <c r="C321" s="2" t="s">
        <v>458</v>
      </c>
      <c r="D321" s="3" t="str">
        <f>HYPERLINK("https://12go.asia/en/travel/beidaihe/shaanxi", "12Go Link")</f>
        <v>12Go Link</v>
      </c>
      <c r="E321" s="2" t="s">
        <v>77</v>
      </c>
    </row>
    <row r="322">
      <c r="A322" s="2" t="s">
        <v>438</v>
      </c>
      <c r="B322" s="2" t="s">
        <v>459</v>
      </c>
      <c r="C322" s="2" t="s">
        <v>460</v>
      </c>
      <c r="D322" s="3" t="str">
        <f>HYPERLINK("https://12go.asia/en/travel/beidaihe/shanghai-hongqiao", "12Go Link")</f>
        <v>12Go Link</v>
      </c>
      <c r="E322" s="2" t="s">
        <v>77</v>
      </c>
    </row>
    <row r="323">
      <c r="A323" s="2" t="s">
        <v>438</v>
      </c>
      <c r="B323" s="2" t="s">
        <v>461</v>
      </c>
      <c r="C323" s="2" t="s">
        <v>462</v>
      </c>
      <c r="D323" s="3" t="str">
        <f>HYPERLINK("https://12go.asia/en/travel/beidaihe/shanghai-hongqiao-airport", "12Go Link")</f>
        <v>12Go Link</v>
      </c>
      <c r="E323" s="2" t="s">
        <v>77</v>
      </c>
    </row>
    <row r="324">
      <c r="A324" s="2" t="s">
        <v>438</v>
      </c>
      <c r="B324" s="2" t="s">
        <v>463</v>
      </c>
      <c r="C324" s="2" t="s">
        <v>464</v>
      </c>
      <c r="D324" s="3" t="str">
        <f>HYPERLINK("https://12go.asia/en/travel/beidaihe/shanhaiguan", "12Go Link")</f>
        <v>12Go Link</v>
      </c>
      <c r="E324" s="2" t="s">
        <v>77</v>
      </c>
    </row>
    <row r="325">
      <c r="A325" s="2" t="s">
        <v>438</v>
      </c>
      <c r="B325" s="2" t="s">
        <v>465</v>
      </c>
      <c r="C325" s="2" t="s">
        <v>466</v>
      </c>
      <c r="D325" s="3" t="str">
        <f>HYPERLINK("https://12go.asia/en/travel/beidaihe/shuangliu", "12Go Link")</f>
        <v>12Go Link</v>
      </c>
      <c r="E325" s="2" t="s">
        <v>77</v>
      </c>
    </row>
    <row r="326">
      <c r="A326" s="2" t="s">
        <v>438</v>
      </c>
      <c r="B326" s="2" t="s">
        <v>467</v>
      </c>
      <c r="C326" s="2" t="s">
        <v>468</v>
      </c>
      <c r="D326" s="3" t="str">
        <f>HYPERLINK("https://12go.asia/en/travel/beidaihe/wenjiang", "12Go Link")</f>
        <v>12Go Link</v>
      </c>
      <c r="E326" s="2" t="s">
        <v>77</v>
      </c>
    </row>
    <row r="327">
      <c r="A327" s="2" t="s">
        <v>438</v>
      </c>
      <c r="B327" s="2" t="s">
        <v>469</v>
      </c>
      <c r="C327" s="2" t="s">
        <v>470</v>
      </c>
      <c r="D327" s="3" t="str">
        <f>HYPERLINK("https://12go.asia/en/travel/beidaihe/xian", "12Go Link")</f>
        <v>12Go Link</v>
      </c>
      <c r="E327" s="2" t="s">
        <v>77</v>
      </c>
    </row>
    <row r="328">
      <c r="A328" s="2" t="s">
        <v>438</v>
      </c>
      <c r="B328" s="2" t="s">
        <v>471</v>
      </c>
      <c r="C328" s="2" t="s">
        <v>472</v>
      </c>
      <c r="D328" s="3" t="str">
        <f>HYPERLINK("https://12go.asia/en/travel/beidaihe/xihu", "12Go Link")</f>
        <v>12Go Link</v>
      </c>
      <c r="E328" s="2" t="s">
        <v>77</v>
      </c>
    </row>
    <row r="329">
      <c r="A329" s="2" t="s">
        <v>438</v>
      </c>
      <c r="B329" s="2" t="s">
        <v>378</v>
      </c>
      <c r="C329" s="2" t="s">
        <v>473</v>
      </c>
      <c r="D329" s="3" t="str">
        <f>HYPERLINK("https://12go.asia/en/travel/beidaihe/xunxian", "12Go Link")</f>
        <v>12Go Link</v>
      </c>
      <c r="E329" s="2" t="s">
        <v>77</v>
      </c>
    </row>
    <row r="330">
      <c r="A330" s="2" t="s">
        <v>438</v>
      </c>
      <c r="B330" s="2" t="s">
        <v>474</v>
      </c>
      <c r="C330" s="2" t="s">
        <v>475</v>
      </c>
      <c r="D330" s="3" t="str">
        <f>HYPERLINK("https://12go.asia/en/travel/beidaihe/zhejiang", "12Go Link")</f>
        <v>12Go Link</v>
      </c>
      <c r="E330" s="2" t="s">
        <v>77</v>
      </c>
    </row>
    <row r="331">
      <c r="A331" s="2" t="s">
        <v>476</v>
      </c>
      <c r="B331" s="2" t="s">
        <v>408</v>
      </c>
      <c r="C331" s="2" t="s">
        <v>477</v>
      </c>
      <c r="D331" s="3" t="str">
        <f>HYPERLINK("https://12go.asia/en/travel/beihai/chengdu-east", "12Go Link")</f>
        <v>12Go Link</v>
      </c>
      <c r="E331" s="2" t="s">
        <v>77</v>
      </c>
    </row>
    <row r="332">
      <c r="A332" s="2" t="s">
        <v>476</v>
      </c>
      <c r="B332" s="2" t="s">
        <v>478</v>
      </c>
      <c r="C332" s="2" t="s">
        <v>479</v>
      </c>
      <c r="D332" s="3" t="str">
        <f>HYPERLINK("https://12go.asia/en/travel/beihai/guangxi", "12Go Link")</f>
        <v>12Go Link</v>
      </c>
      <c r="E332" s="2" t="s">
        <v>77</v>
      </c>
    </row>
    <row r="333">
      <c r="A333" s="2" t="s">
        <v>476</v>
      </c>
      <c r="B333" s="2" t="s">
        <v>480</v>
      </c>
      <c r="C333" s="2" t="s">
        <v>481</v>
      </c>
      <c r="D333" s="3" t="str">
        <f>HYPERLINK("https://12go.asia/en/travel/beihai/hezhou", "12Go Link")</f>
        <v>12Go Link</v>
      </c>
      <c r="E333" s="2" t="s">
        <v>77</v>
      </c>
    </row>
    <row r="334">
      <c r="A334" s="2" t="s">
        <v>476</v>
      </c>
      <c r="B334" s="2" t="s">
        <v>482</v>
      </c>
      <c r="C334" s="2" t="s">
        <v>483</v>
      </c>
      <c r="D334" s="3" t="str">
        <f>HYPERLINK("https://12go.asia/en/travel/beihai/mingxi", "12Go Link")</f>
        <v>12Go Link</v>
      </c>
      <c r="E334" s="2" t="s">
        <v>77</v>
      </c>
    </row>
    <row r="335">
      <c r="A335" s="2" t="s">
        <v>476</v>
      </c>
      <c r="B335" s="2" t="s">
        <v>484</v>
      </c>
      <c r="C335" s="2" t="s">
        <v>485</v>
      </c>
      <c r="D335" s="3" t="str">
        <f>HYPERLINK("https://12go.asia/en/travel/beihai/saihan", "12Go Link")</f>
        <v>12Go Link</v>
      </c>
      <c r="E335" s="2" t="s">
        <v>77</v>
      </c>
    </row>
    <row r="336">
      <c r="A336" s="2" t="s">
        <v>476</v>
      </c>
      <c r="B336" s="2" t="s">
        <v>486</v>
      </c>
      <c r="C336" s="2" t="s">
        <v>487</v>
      </c>
      <c r="D336" s="3" t="str">
        <f>HYPERLINK("https://12go.asia/en/travel/beihai/sichuan", "12Go Link")</f>
        <v>12Go Link</v>
      </c>
      <c r="E336" s="2" t="s">
        <v>77</v>
      </c>
    </row>
    <row r="337">
      <c r="A337" s="2" t="s">
        <v>476</v>
      </c>
      <c r="B337" s="2" t="s">
        <v>488</v>
      </c>
      <c r="C337" s="2" t="s">
        <v>489</v>
      </c>
      <c r="D337" s="3" t="str">
        <f>HYPERLINK("https://12go.asia/en/travel/beihai/wuxu-airport", "12Go Link")</f>
        <v>12Go Link</v>
      </c>
      <c r="E337" s="2" t="s">
        <v>77</v>
      </c>
    </row>
    <row r="338">
      <c r="A338" s="2" t="s">
        <v>476</v>
      </c>
      <c r="B338" s="2" t="s">
        <v>488</v>
      </c>
      <c r="C338" s="2" t="s">
        <v>490</v>
      </c>
      <c r="D338" s="3" t="str">
        <f>HYPERLINK("https://12go.asia/en/travel/beihai/wuxu-nanning", "12Go Link")</f>
        <v>12Go Link</v>
      </c>
      <c r="E338" s="2" t="s">
        <v>77</v>
      </c>
    </row>
    <row r="339">
      <c r="A339" s="2" t="s">
        <v>491</v>
      </c>
      <c r="B339" s="2" t="s">
        <v>408</v>
      </c>
      <c r="C339" s="2" t="s">
        <v>492</v>
      </c>
      <c r="D339" s="3" t="str">
        <f>HYPERLINK("https://12go.asia/en/travel/beijing-fengtai/chengdu-west", "12Go Link")</f>
        <v>12Go Link</v>
      </c>
      <c r="E339" s="2" t="s">
        <v>77</v>
      </c>
    </row>
    <row r="340">
      <c r="A340" s="2" t="s">
        <v>491</v>
      </c>
      <c r="B340" s="2" t="s">
        <v>493</v>
      </c>
      <c r="C340" s="2" t="s">
        <v>494</v>
      </c>
      <c r="D340" s="3" t="str">
        <f>HYPERLINK("https://12go.asia/en/travel/beijing-west/shuangliu-airport", "12Go Link")</f>
        <v>12Go Link</v>
      </c>
      <c r="E340" s="2" t="s">
        <v>77</v>
      </c>
    </row>
    <row r="341">
      <c r="A341" s="2" t="s">
        <v>491</v>
      </c>
      <c r="B341" s="2" t="s">
        <v>495</v>
      </c>
      <c r="C341" s="2" t="s">
        <v>496</v>
      </c>
      <c r="D341" s="3" t="str">
        <f>HYPERLINK("https://12go.asia/en/travel/beijing-south/huainan-east", "12Go Link")</f>
        <v>12Go Link</v>
      </c>
      <c r="E341" s="2" t="s">
        <v>77</v>
      </c>
    </row>
    <row r="342">
      <c r="A342" s="2" t="s">
        <v>491</v>
      </c>
      <c r="B342" s="2" t="s">
        <v>495</v>
      </c>
      <c r="C342" s="2" t="s">
        <v>497</v>
      </c>
      <c r="D342" s="3" t="str">
        <f>HYPERLINK("https://12go.asia/en/travel/beijing/huainan", "12Go Link")</f>
        <v>12Go Link</v>
      </c>
      <c r="E342" s="2" t="s">
        <v>77</v>
      </c>
    </row>
    <row r="343">
      <c r="A343" s="2" t="s">
        <v>491</v>
      </c>
      <c r="B343" s="2" t="s">
        <v>495</v>
      </c>
      <c r="C343" s="2" t="s">
        <v>498</v>
      </c>
      <c r="D343" s="3" t="str">
        <f>HYPERLINK("https://12go.asia/en/travel/beijing/huainan-east", "12Go Link")</f>
        <v>12Go Link</v>
      </c>
      <c r="E343" s="2" t="s">
        <v>77</v>
      </c>
    </row>
    <row r="344">
      <c r="A344" s="2" t="s">
        <v>491</v>
      </c>
      <c r="B344" s="2" t="s">
        <v>499</v>
      </c>
      <c r="C344" s="2" t="s">
        <v>500</v>
      </c>
      <c r="D344" s="3" t="str">
        <f>HYPERLINK("https://12go.asia/en/travel/beijing/huairen-east", "12Go Link")</f>
        <v>12Go Link</v>
      </c>
      <c r="E344" s="2" t="s">
        <v>77</v>
      </c>
    </row>
    <row r="345">
      <c r="A345" s="2" t="s">
        <v>491</v>
      </c>
      <c r="B345" s="2" t="s">
        <v>501</v>
      </c>
      <c r="C345" s="2" t="s">
        <v>502</v>
      </c>
      <c r="D345" s="3" t="str">
        <f>HYPERLINK("https://12go.asia/en/travel/beijing/hunchun", "12Go Link")</f>
        <v>12Go Link</v>
      </c>
      <c r="E345" s="2" t="s">
        <v>77</v>
      </c>
    </row>
    <row r="346">
      <c r="A346" s="2" t="s">
        <v>491</v>
      </c>
      <c r="B346" s="2" t="s">
        <v>503</v>
      </c>
      <c r="C346" s="2" t="s">
        <v>504</v>
      </c>
      <c r="D346" s="3" t="str">
        <f>HYPERLINK("https://12go.asia/en/travel/beijing-fengtai/langfang-north", "12Go Link")</f>
        <v>12Go Link</v>
      </c>
      <c r="E346" s="2" t="s">
        <v>77</v>
      </c>
    </row>
    <row r="347">
      <c r="A347" s="2" t="s">
        <v>491</v>
      </c>
      <c r="B347" s="2" t="s">
        <v>503</v>
      </c>
      <c r="C347" s="2" t="s">
        <v>505</v>
      </c>
      <c r="D347" s="3" t="str">
        <f>HYPERLINK("https://12go.asia/en/travel/beijing-south/langfang", "12Go Link")</f>
        <v>12Go Link</v>
      </c>
      <c r="E347" s="2" t="s">
        <v>77</v>
      </c>
    </row>
    <row r="348">
      <c r="A348" s="2" t="s">
        <v>491</v>
      </c>
      <c r="B348" s="2" t="s">
        <v>503</v>
      </c>
      <c r="C348" s="2" t="s">
        <v>506</v>
      </c>
      <c r="D348" s="3" t="str">
        <f>HYPERLINK("https://12go.asia/en/travel/beijing/langfang", "12Go Link")</f>
        <v>12Go Link</v>
      </c>
      <c r="E348" s="2" t="s">
        <v>77</v>
      </c>
    </row>
    <row r="349">
      <c r="A349" s="2" t="s">
        <v>491</v>
      </c>
      <c r="B349" s="2" t="s">
        <v>503</v>
      </c>
      <c r="C349" s="2" t="s">
        <v>507</v>
      </c>
      <c r="D349" s="3" t="str">
        <f>HYPERLINK("https://12go.asia/en/travel/beijing/langfang-north", "12Go Link")</f>
        <v>12Go Link</v>
      </c>
      <c r="E349" s="2" t="s">
        <v>77</v>
      </c>
    </row>
    <row r="350">
      <c r="A350" s="2" t="s">
        <v>491</v>
      </c>
      <c r="B350" s="2" t="s">
        <v>508</v>
      </c>
      <c r="C350" s="2" t="s">
        <v>509</v>
      </c>
      <c r="D350" s="3" t="str">
        <f>HYPERLINK("https://12go.asia/en/travel/beijing-fengtai/lianyungang-east", "12Go Link")</f>
        <v>12Go Link</v>
      </c>
      <c r="E350" s="2" t="s">
        <v>77</v>
      </c>
    </row>
    <row r="351">
      <c r="A351" s="2" t="s">
        <v>491</v>
      </c>
      <c r="B351" s="2" t="s">
        <v>454</v>
      </c>
      <c r="C351" s="2" t="s">
        <v>510</v>
      </c>
      <c r="D351" s="3" t="str">
        <f>HYPERLINK("https://12go.asia/en/travel/beijing-fengtai/nanjing", "12Go Link")</f>
        <v>12Go Link</v>
      </c>
      <c r="E351" s="2" t="s">
        <v>77</v>
      </c>
    </row>
    <row r="352">
      <c r="A352" s="2" t="s">
        <v>491</v>
      </c>
      <c r="B352" s="2" t="s">
        <v>511</v>
      </c>
      <c r="C352" s="2" t="s">
        <v>512</v>
      </c>
      <c r="D352" s="3" t="str">
        <f>HYPERLINK("https://12go.asia/en/travel/beijing-north/pingyao-ancient-city", "12Go Link")</f>
        <v>12Go Link</v>
      </c>
      <c r="E352" s="2" t="s">
        <v>77</v>
      </c>
    </row>
    <row r="353">
      <c r="A353" s="2" t="s">
        <v>491</v>
      </c>
      <c r="B353" s="2" t="s">
        <v>381</v>
      </c>
      <c r="C353" s="2" t="s">
        <v>513</v>
      </c>
      <c r="D353" s="3" t="str">
        <f>HYPERLINK("https://12go.asia/en/travel/beijing/pujiangzhen", "12Go Link")</f>
        <v>12Go Link</v>
      </c>
      <c r="E353" s="2" t="s">
        <v>77</v>
      </c>
    </row>
    <row r="354">
      <c r="A354" s="2" t="s">
        <v>491</v>
      </c>
      <c r="B354" s="2" t="s">
        <v>514</v>
      </c>
      <c r="C354" s="2" t="s">
        <v>515</v>
      </c>
      <c r="D354" s="3" t="str">
        <f>HYPERLINK("https://12go.asia/en/travel/beijing-west/qujing", "12Go Link")</f>
        <v>12Go Link</v>
      </c>
      <c r="E354" s="2" t="s">
        <v>77</v>
      </c>
    </row>
    <row r="355">
      <c r="A355" s="2" t="s">
        <v>491</v>
      </c>
      <c r="B355" s="2" t="s">
        <v>514</v>
      </c>
      <c r="C355" s="2" t="s">
        <v>516</v>
      </c>
      <c r="D355" s="3" t="str">
        <f>HYPERLINK("https://12go.asia/en/travel/beijing-west/qujing-north", "12Go Link")</f>
        <v>12Go Link</v>
      </c>
      <c r="E355" s="2" t="s">
        <v>77</v>
      </c>
    </row>
    <row r="356">
      <c r="A356" s="2" t="s">
        <v>491</v>
      </c>
      <c r="B356" s="2" t="s">
        <v>514</v>
      </c>
      <c r="C356" s="2" t="s">
        <v>517</v>
      </c>
      <c r="D356" s="3" t="str">
        <f>HYPERLINK("https://12go.asia/en/travel/beijing/qujing", "12Go Link")</f>
        <v>12Go Link</v>
      </c>
      <c r="E356" s="2" t="s">
        <v>77</v>
      </c>
    </row>
    <row r="357">
      <c r="A357" s="2" t="s">
        <v>491</v>
      </c>
      <c r="B357" s="2" t="s">
        <v>459</v>
      </c>
      <c r="C357" s="2" t="s">
        <v>518</v>
      </c>
      <c r="D357" s="3" t="str">
        <f>HYPERLINK("https://12go.asia/en/travel/beijing-south/shanghai-hongqiao", "12Go Link")</f>
        <v>12Go Link</v>
      </c>
      <c r="E357" s="2" t="s">
        <v>77</v>
      </c>
    </row>
    <row r="358">
      <c r="A358" s="2" t="s">
        <v>491</v>
      </c>
      <c r="B358" s="2" t="s">
        <v>420</v>
      </c>
      <c r="C358" s="2" t="s">
        <v>519</v>
      </c>
      <c r="D358" s="3" t="str">
        <f>HYPERLINK("https://12go.asia/en/travel/beijing-fengtai/shanghai-songjiang", "12Go Link")</f>
        <v>12Go Link</v>
      </c>
      <c r="E358" s="2" t="s">
        <v>77</v>
      </c>
    </row>
    <row r="359">
      <c r="A359" s="2" t="s">
        <v>491</v>
      </c>
      <c r="B359" s="2" t="s">
        <v>420</v>
      </c>
      <c r="C359" s="2" t="s">
        <v>520</v>
      </c>
      <c r="D359" s="3" t="str">
        <f>HYPERLINK("https://12go.asia/en/travel/beijing/shanghai-songjiang", "12Go Link")</f>
        <v>12Go Link</v>
      </c>
      <c r="E359" s="2" t="s">
        <v>77</v>
      </c>
    </row>
    <row r="360">
      <c r="A360" s="2" t="s">
        <v>491</v>
      </c>
      <c r="B360" s="2" t="s">
        <v>420</v>
      </c>
      <c r="C360" s="2" t="s">
        <v>521</v>
      </c>
      <c r="D360" s="3" t="str">
        <f>HYPERLINK("https://12go.asia/en/travel/beijing/songjiang-shanghai", "12Go Link")</f>
        <v>12Go Link</v>
      </c>
      <c r="E360" s="2" t="s">
        <v>77</v>
      </c>
    </row>
    <row r="361">
      <c r="A361" s="2" t="s">
        <v>491</v>
      </c>
      <c r="B361" s="2" t="s">
        <v>522</v>
      </c>
      <c r="C361" s="2" t="s">
        <v>523</v>
      </c>
      <c r="D361" s="3" t="str">
        <f>HYPERLINK("https://12go.asia/en/travel/beijing/tonghua", "12Go Link")</f>
        <v>12Go Link</v>
      </c>
      <c r="E361" s="2" t="s">
        <v>77</v>
      </c>
    </row>
    <row r="362">
      <c r="A362" s="2" t="s">
        <v>491</v>
      </c>
      <c r="B362" s="2" t="s">
        <v>524</v>
      </c>
      <c r="C362" s="2" t="s">
        <v>525</v>
      </c>
      <c r="D362" s="3" t="str">
        <f>HYPERLINK("https://12go.asia/en/travel/beijing/wanzhi", "12Go Link")</f>
        <v>12Go Link</v>
      </c>
      <c r="E362" s="2" t="s">
        <v>77</v>
      </c>
    </row>
    <row r="363">
      <c r="A363" s="2" t="s">
        <v>491</v>
      </c>
      <c r="B363" s="2" t="s">
        <v>423</v>
      </c>
      <c r="C363" s="2" t="s">
        <v>526</v>
      </c>
      <c r="D363" s="3" t="str">
        <f>HYPERLINK("https://12go.asia/en/travel/beijing-fengtai/weifang", "12Go Link")</f>
        <v>12Go Link</v>
      </c>
      <c r="E363" s="2" t="s">
        <v>77</v>
      </c>
    </row>
    <row r="364">
      <c r="A364" s="2" t="s">
        <v>491</v>
      </c>
      <c r="B364" s="2" t="s">
        <v>469</v>
      </c>
      <c r="C364" s="2" t="s">
        <v>527</v>
      </c>
      <c r="D364" s="3" t="str">
        <f>HYPERLINK("https://12go.asia/en/travel/beijing-fengtai/xian-south", "12Go Link")</f>
        <v>12Go Link</v>
      </c>
      <c r="E364" s="2" t="s">
        <v>77</v>
      </c>
    </row>
    <row r="365">
      <c r="A365" s="2" t="s">
        <v>491</v>
      </c>
      <c r="B365" s="2" t="s">
        <v>469</v>
      </c>
      <c r="C365" s="2" t="s">
        <v>528</v>
      </c>
      <c r="D365" s="3" t="str">
        <f>HYPERLINK("https://12go.asia/en/travel/beijing-north/xian-north", "12Go Link")</f>
        <v>12Go Link</v>
      </c>
      <c r="E365" s="2" t="s">
        <v>77</v>
      </c>
    </row>
    <row r="366">
      <c r="A366" s="2" t="s">
        <v>491</v>
      </c>
      <c r="B366" s="2" t="s">
        <v>529</v>
      </c>
      <c r="C366" s="2" t="s">
        <v>530</v>
      </c>
      <c r="D366" s="3" t="str">
        <f>HYPERLINK("https://12go.asia/en/travel/beijing-south/jining-east", "12Go Link")</f>
        <v>12Go Link</v>
      </c>
      <c r="E366" s="2" t="s">
        <v>77</v>
      </c>
    </row>
    <row r="367">
      <c r="A367" s="2" t="s">
        <v>491</v>
      </c>
      <c r="B367" s="2" t="s">
        <v>529</v>
      </c>
      <c r="C367" s="2" t="s">
        <v>531</v>
      </c>
      <c r="D367" s="3" t="str">
        <f>HYPERLINK("https://12go.asia/en/travel/beijing/yunxian", "12Go Link")</f>
        <v>12Go Link</v>
      </c>
      <c r="E367" s="2" t="s">
        <v>77</v>
      </c>
    </row>
    <row r="368">
      <c r="A368" s="2" t="s">
        <v>491</v>
      </c>
      <c r="B368" s="2" t="s">
        <v>532</v>
      </c>
      <c r="C368" s="2" t="s">
        <v>533</v>
      </c>
      <c r="D368" s="3" t="str">
        <f>HYPERLINK("https://12go.asia/en/travel/beijing/zalantun", "12Go Link")</f>
        <v>12Go Link</v>
      </c>
      <c r="E368" s="2" t="s">
        <v>77</v>
      </c>
    </row>
    <row r="369">
      <c r="A369" s="2" t="s">
        <v>491</v>
      </c>
      <c r="B369" s="2" t="s">
        <v>532</v>
      </c>
      <c r="C369" s="2" t="s">
        <v>534</v>
      </c>
      <c r="D369" s="3" t="str">
        <f>HYPERLINK("https://12go.asia/en/travel/beijing/zhalantun", "12Go Link")</f>
        <v>12Go Link</v>
      </c>
      <c r="E369" s="2" t="s">
        <v>77</v>
      </c>
    </row>
    <row r="370">
      <c r="A370" s="2" t="s">
        <v>535</v>
      </c>
      <c r="B370" s="2" t="s">
        <v>536</v>
      </c>
      <c r="C370" s="2" t="s">
        <v>537</v>
      </c>
      <c r="D370" s="3" t="str">
        <f>HYPERLINK("https://12go.asia/en/travel/beijing-airport/daxing", "12Go Link")</f>
        <v>12Go Link</v>
      </c>
      <c r="E370" s="2" t="s">
        <v>77</v>
      </c>
    </row>
    <row r="371">
      <c r="A371" s="2" t="s">
        <v>535</v>
      </c>
      <c r="B371" s="2" t="s">
        <v>538</v>
      </c>
      <c r="C371" s="2" t="s">
        <v>539</v>
      </c>
      <c r="D371" s="3" t="str">
        <f>HYPERLINK("https://12go.asia/en/travel/shunyi-west/harbin-west", "12Go Link")</f>
        <v>12Go Link</v>
      </c>
      <c r="E371" s="2" t="s">
        <v>77</v>
      </c>
    </row>
    <row r="372">
      <c r="A372" s="2" t="s">
        <v>535</v>
      </c>
      <c r="B372" s="2" t="s">
        <v>376</v>
      </c>
      <c r="C372" s="2" t="s">
        <v>540</v>
      </c>
      <c r="D372" s="3" t="str">
        <f>HYPERLINK("https://12go.asia/en/travel/beijing-airport/heilongjiang", "12Go Link")</f>
        <v>12Go Link</v>
      </c>
      <c r="E372" s="2" t="s">
        <v>77</v>
      </c>
    </row>
    <row r="373">
      <c r="A373" s="2" t="s">
        <v>535</v>
      </c>
      <c r="B373" s="2" t="s">
        <v>388</v>
      </c>
      <c r="C373" s="2" t="s">
        <v>541</v>
      </c>
      <c r="D373" s="3" t="str">
        <f>HYPERLINK("https://12go.asia/en/travel/beijing-airport/tacheng", "12Go Link")</f>
        <v>12Go Link</v>
      </c>
      <c r="E373" s="2" t="s">
        <v>77</v>
      </c>
    </row>
    <row r="374">
      <c r="A374" s="2" t="s">
        <v>535</v>
      </c>
      <c r="B374" s="2" t="s">
        <v>388</v>
      </c>
      <c r="C374" s="2" t="s">
        <v>542</v>
      </c>
      <c r="D374" s="3" t="str">
        <f>HYPERLINK("https://12go.asia/en/travel/shunyi-west/beijing-chaoyang", "12Go Link")</f>
        <v>12Go Link</v>
      </c>
      <c r="E374" s="2" t="s">
        <v>77</v>
      </c>
    </row>
    <row r="375">
      <c r="A375" s="2" t="s">
        <v>543</v>
      </c>
      <c r="B375" s="2" t="s">
        <v>491</v>
      </c>
      <c r="C375" s="2" t="s">
        <v>544</v>
      </c>
      <c r="D375" s="3" t="str">
        <f>HYPERLINK("https://12go.asia/en/travel/guan/beijing", "12Go Link")</f>
        <v>12Go Link</v>
      </c>
      <c r="E375" s="2" t="s">
        <v>77</v>
      </c>
    </row>
    <row r="376">
      <c r="A376" s="2" t="s">
        <v>543</v>
      </c>
      <c r="B376" s="2" t="s">
        <v>536</v>
      </c>
      <c r="C376" s="2" t="s">
        <v>545</v>
      </c>
      <c r="D376" s="3" t="str">
        <f>HYPERLINK("https://12go.asia/en/travel/beijing-daxing-airport/daxing", "12Go Link")</f>
        <v>12Go Link</v>
      </c>
      <c r="E376" s="2" t="s">
        <v>77</v>
      </c>
    </row>
    <row r="377">
      <c r="A377" s="2" t="s">
        <v>543</v>
      </c>
      <c r="B377" s="2" t="s">
        <v>546</v>
      </c>
      <c r="C377" s="2" t="s">
        <v>547</v>
      </c>
      <c r="D377" s="3" t="str">
        <f>HYPERLINK("https://12go.asia/en/travel/beijing-daxing-airport/qinghe", "12Go Link")</f>
        <v>12Go Link</v>
      </c>
      <c r="E377" s="2" t="s">
        <v>77</v>
      </c>
    </row>
    <row r="378">
      <c r="A378" s="2" t="s">
        <v>543</v>
      </c>
      <c r="B378" s="2" t="s">
        <v>546</v>
      </c>
      <c r="C378" s="2" t="s">
        <v>548</v>
      </c>
      <c r="D378" s="3" t="str">
        <f>HYPERLINK("https://12go.asia/en/travel/guan/qinghecheng", "12Go Link")</f>
        <v>12Go Link</v>
      </c>
      <c r="E378" s="2" t="s">
        <v>77</v>
      </c>
    </row>
    <row r="379">
      <c r="A379" s="2" t="s">
        <v>543</v>
      </c>
      <c r="B379" s="2" t="s">
        <v>388</v>
      </c>
      <c r="C379" s="2" t="s">
        <v>549</v>
      </c>
      <c r="D379" s="3" t="str">
        <f>HYPERLINK("https://12go.asia/en/travel/beijing-daxing-airport/tacheng", "12Go Link")</f>
        <v>12Go Link</v>
      </c>
      <c r="E379" s="2" t="s">
        <v>77</v>
      </c>
    </row>
    <row r="380">
      <c r="A380" s="2" t="s">
        <v>543</v>
      </c>
      <c r="B380" s="2" t="s">
        <v>388</v>
      </c>
      <c r="C380" s="2" t="s">
        <v>550</v>
      </c>
      <c r="D380" s="3" t="str">
        <f>HYPERLINK("https://12go.asia/en/travel/daxing-airport-station/beijing-daxing", "12Go Link")</f>
        <v>12Go Link</v>
      </c>
      <c r="E380" s="2" t="s">
        <v>77</v>
      </c>
    </row>
    <row r="381">
      <c r="A381" s="2" t="s">
        <v>543</v>
      </c>
      <c r="B381" s="2" t="s">
        <v>388</v>
      </c>
      <c r="C381" s="2" t="s">
        <v>551</v>
      </c>
      <c r="D381" s="3" t="str">
        <f>HYPERLINK("https://12go.asia/en/travel/guan-east/beijing-daxing", "12Go Link")</f>
        <v>12Go Link</v>
      </c>
      <c r="E381" s="2" t="s">
        <v>77</v>
      </c>
    </row>
    <row r="382">
      <c r="A382" s="2" t="s">
        <v>543</v>
      </c>
      <c r="B382" s="2" t="s">
        <v>552</v>
      </c>
      <c r="C382" s="2" t="s">
        <v>553</v>
      </c>
      <c r="D382" s="3" t="str">
        <f>HYPERLINK("https://12go.asia/en/travel/guan-east/tianjin", "12Go Link")</f>
        <v>12Go Link</v>
      </c>
      <c r="E382" s="2" t="s">
        <v>77</v>
      </c>
    </row>
    <row r="383">
      <c r="A383" s="2" t="s">
        <v>543</v>
      </c>
      <c r="B383" s="2" t="s">
        <v>552</v>
      </c>
      <c r="C383" s="2" t="s">
        <v>554</v>
      </c>
      <c r="D383" s="3" t="str">
        <f>HYPERLINK("https://12go.asia/en/travel/guan-east/tianjin-west", "12Go Link")</f>
        <v>12Go Link</v>
      </c>
      <c r="E383" s="2" t="s">
        <v>77</v>
      </c>
    </row>
    <row r="384">
      <c r="A384" s="2" t="s">
        <v>555</v>
      </c>
      <c r="B384" s="2" t="s">
        <v>395</v>
      </c>
      <c r="C384" s="2" t="s">
        <v>556</v>
      </c>
      <c r="D384" s="3" t="str">
        <f>HYPERLINK("https://12go.asia/en/travel/bole/urumqi-south", "12Go Link")</f>
        <v>12Go Link</v>
      </c>
      <c r="E384" s="2" t="s">
        <v>77</v>
      </c>
    </row>
    <row r="385">
      <c r="A385" s="2" t="s">
        <v>557</v>
      </c>
      <c r="B385" s="2" t="s">
        <v>558</v>
      </c>
      <c r="C385" s="2" t="s">
        <v>559</v>
      </c>
      <c r="D385" s="3" t="str">
        <f>HYPERLINK("https://12go.asia/en/travel/boluo/nanchang", "12Go Link")</f>
        <v>12Go Link</v>
      </c>
      <c r="E385" s="2" t="s">
        <v>77</v>
      </c>
    </row>
    <row r="386">
      <c r="A386" s="2" t="s">
        <v>557</v>
      </c>
      <c r="B386" s="2" t="s">
        <v>560</v>
      </c>
      <c r="C386" s="2" t="s">
        <v>561</v>
      </c>
      <c r="D386" s="3" t="str">
        <f>HYPERLINK("https://12go.asia/en/travel/boluo/zhuzhou", "12Go Link")</f>
        <v>12Go Link</v>
      </c>
      <c r="E386" s="2" t="s">
        <v>77</v>
      </c>
    </row>
    <row r="387">
      <c r="A387" s="2" t="s">
        <v>442</v>
      </c>
      <c r="B387" s="2" t="s">
        <v>491</v>
      </c>
      <c r="C387" s="2" t="s">
        <v>562</v>
      </c>
      <c r="D387" s="3" t="str">
        <f>HYPERLINK("https://12go.asia/en/travel/cangzhou/beijing-fengtai", "12Go Link")</f>
        <v>12Go Link</v>
      </c>
      <c r="E387" s="2" t="s">
        <v>77</v>
      </c>
    </row>
    <row r="388">
      <c r="A388" s="2" t="s">
        <v>442</v>
      </c>
      <c r="B388" s="2" t="s">
        <v>491</v>
      </c>
      <c r="C388" s="2" t="s">
        <v>563</v>
      </c>
      <c r="D388" s="3" t="str">
        <f>HYPERLINK("https://12go.asia/en/travel/cangzhou/beijing-south", "12Go Link")</f>
        <v>12Go Link</v>
      </c>
      <c r="E388" s="2" t="s">
        <v>77</v>
      </c>
    </row>
    <row r="389">
      <c r="A389" s="2" t="s">
        <v>564</v>
      </c>
      <c r="B389" s="2" t="s">
        <v>565</v>
      </c>
      <c r="C389" s="2" t="s">
        <v>566</v>
      </c>
      <c r="D389" s="3" t="str">
        <f>HYPERLINK("https://12go.asia/en/travel/changchun/shangqiu", "12Go Link")</f>
        <v>12Go Link</v>
      </c>
      <c r="E389" s="2" t="s">
        <v>77</v>
      </c>
    </row>
    <row r="390">
      <c r="A390" s="2" t="s">
        <v>564</v>
      </c>
      <c r="B390" s="2" t="s">
        <v>565</v>
      </c>
      <c r="C390" s="2" t="s">
        <v>567</v>
      </c>
      <c r="D390" s="3" t="str">
        <f>HYPERLINK("https://12go.asia/en/travel/changchun/shangqiu-south", "12Go Link")</f>
        <v>12Go Link</v>
      </c>
      <c r="E390" s="2" t="s">
        <v>77</v>
      </c>
    </row>
    <row r="391">
      <c r="A391" s="2" t="s">
        <v>564</v>
      </c>
      <c r="B391" s="2" t="s">
        <v>423</v>
      </c>
      <c r="C391" s="2" t="s">
        <v>568</v>
      </c>
      <c r="D391" s="3" t="str">
        <f>HYPERLINK("https://12go.asia/en/travel/changchun-west/weifang-north", "12Go Link")</f>
        <v>12Go Link</v>
      </c>
      <c r="E391" s="2" t="s">
        <v>77</v>
      </c>
    </row>
    <row r="392">
      <c r="A392" s="2" t="s">
        <v>564</v>
      </c>
      <c r="B392" s="2" t="s">
        <v>423</v>
      </c>
      <c r="C392" s="2" t="s">
        <v>569</v>
      </c>
      <c r="D392" s="3" t="str">
        <f>HYPERLINK("https://12go.asia/en/travel/changchun/weifang", "12Go Link")</f>
        <v>12Go Link</v>
      </c>
      <c r="E392" s="2" t="s">
        <v>77</v>
      </c>
    </row>
    <row r="393">
      <c r="A393" s="2" t="s">
        <v>564</v>
      </c>
      <c r="B393" s="2" t="s">
        <v>423</v>
      </c>
      <c r="C393" s="2" t="s">
        <v>570</v>
      </c>
      <c r="D393" s="3" t="str">
        <f>HYPERLINK("https://12go.asia/en/travel/changchun/weifang-north", "12Go Link")</f>
        <v>12Go Link</v>
      </c>
      <c r="E393" s="2" t="s">
        <v>77</v>
      </c>
    </row>
    <row r="394">
      <c r="A394" s="2" t="s">
        <v>564</v>
      </c>
      <c r="B394" s="2" t="s">
        <v>571</v>
      </c>
      <c r="C394" s="2" t="s">
        <v>572</v>
      </c>
      <c r="D394" s="3" t="str">
        <f>HYPERLINK("https://12go.asia/en/travel/changchun-west/wuxi-east", "12Go Link")</f>
        <v>12Go Link</v>
      </c>
      <c r="E394" s="2" t="s">
        <v>77</v>
      </c>
    </row>
    <row r="395">
      <c r="A395" s="2" t="s">
        <v>564</v>
      </c>
      <c r="B395" s="2" t="s">
        <v>571</v>
      </c>
      <c r="C395" s="2" t="s">
        <v>573</v>
      </c>
      <c r="D395" s="3" t="str">
        <f>HYPERLINK("https://12go.asia/en/travel/changchun/wuxi", "12Go Link")</f>
        <v>12Go Link</v>
      </c>
      <c r="E395" s="2" t="s">
        <v>77</v>
      </c>
    </row>
    <row r="396">
      <c r="A396" s="2" t="s">
        <v>564</v>
      </c>
      <c r="B396" s="2" t="s">
        <v>571</v>
      </c>
      <c r="C396" s="2" t="s">
        <v>574</v>
      </c>
      <c r="D396" s="3" t="str">
        <f>HYPERLINK("https://12go.asia/en/travel/changchun/wuxi-jiangsu", "12Go Link")</f>
        <v>12Go Link</v>
      </c>
      <c r="E396" s="2" t="s">
        <v>77</v>
      </c>
    </row>
    <row r="397">
      <c r="A397" s="2" t="s">
        <v>564</v>
      </c>
      <c r="B397" s="2" t="s">
        <v>575</v>
      </c>
      <c r="C397" s="2" t="s">
        <v>576</v>
      </c>
      <c r="D397" s="3" t="str">
        <f>HYPERLINK("https://12go.asia/en/travel/changchun-west/zhangjiagang", "12Go Link")</f>
        <v>12Go Link</v>
      </c>
      <c r="E397" s="2" t="s">
        <v>77</v>
      </c>
    </row>
    <row r="398">
      <c r="A398" s="2" t="s">
        <v>564</v>
      </c>
      <c r="B398" s="2" t="s">
        <v>575</v>
      </c>
      <c r="C398" s="2" t="s">
        <v>577</v>
      </c>
      <c r="D398" s="3" t="str">
        <f>HYPERLINK("https://12go.asia/en/travel/changchun/zhangjiagang", "12Go Link")</f>
        <v>12Go Link</v>
      </c>
      <c r="E398" s="2" t="s">
        <v>77</v>
      </c>
    </row>
    <row r="399">
      <c r="A399" s="2" t="s">
        <v>578</v>
      </c>
      <c r="B399" s="2" t="s">
        <v>579</v>
      </c>
      <c r="C399" s="2" t="s">
        <v>580</v>
      </c>
      <c r="D399" s="3" t="str">
        <f>HYPERLINK("https://12go.asia/en/travel/changsha-south/longchang-north", "12Go Link")</f>
        <v>12Go Link</v>
      </c>
      <c r="E399" s="2" t="s">
        <v>77</v>
      </c>
    </row>
    <row r="400">
      <c r="A400" s="2" t="s">
        <v>578</v>
      </c>
      <c r="B400" s="2" t="s">
        <v>579</v>
      </c>
      <c r="C400" s="2" t="s">
        <v>581</v>
      </c>
      <c r="D400" s="3" t="str">
        <f>HYPERLINK("https://12go.asia/en/travel/changsha/longchang", "12Go Link")</f>
        <v>12Go Link</v>
      </c>
      <c r="E400" s="2" t="s">
        <v>77</v>
      </c>
    </row>
    <row r="401">
      <c r="A401" s="2" t="s">
        <v>578</v>
      </c>
      <c r="B401" s="2" t="s">
        <v>582</v>
      </c>
      <c r="C401" s="2" t="s">
        <v>583</v>
      </c>
      <c r="D401" s="3" t="str">
        <f>HYPERLINK("https://12go.asia/en/travel/changsha-south/meizhou-west", "12Go Link")</f>
        <v>12Go Link</v>
      </c>
      <c r="E401" s="2" t="s">
        <v>77</v>
      </c>
    </row>
    <row r="402">
      <c r="A402" s="2" t="s">
        <v>578</v>
      </c>
      <c r="B402" s="2" t="s">
        <v>582</v>
      </c>
      <c r="C402" s="2" t="s">
        <v>584</v>
      </c>
      <c r="D402" s="3" t="str">
        <f>HYPERLINK("https://12go.asia/en/travel/changsha/meizhou", "12Go Link")</f>
        <v>12Go Link</v>
      </c>
      <c r="E402" s="2" t="s">
        <v>77</v>
      </c>
    </row>
    <row r="403">
      <c r="A403" s="2" t="s">
        <v>578</v>
      </c>
      <c r="B403" s="2" t="s">
        <v>575</v>
      </c>
      <c r="C403" s="2" t="s">
        <v>585</v>
      </c>
      <c r="D403" s="3" t="str">
        <f>HYPERLINK("https://12go.asia/en/travel/changsha-south/zhangjiagang", "12Go Link")</f>
        <v>12Go Link</v>
      </c>
      <c r="E403" s="2" t="s">
        <v>77</v>
      </c>
    </row>
    <row r="404">
      <c r="A404" s="2" t="s">
        <v>578</v>
      </c>
      <c r="B404" s="2" t="s">
        <v>575</v>
      </c>
      <c r="C404" s="2" t="s">
        <v>586</v>
      </c>
      <c r="D404" s="3" t="str">
        <f>HYPERLINK("https://12go.asia/en/travel/changsha/zhangjiagang", "12Go Link")</f>
        <v>12Go Link</v>
      </c>
      <c r="E404" s="2" t="s">
        <v>77</v>
      </c>
    </row>
    <row r="405">
      <c r="A405" s="2" t="s">
        <v>587</v>
      </c>
      <c r="B405" s="2" t="s">
        <v>588</v>
      </c>
      <c r="C405" s="2" t="s">
        <v>589</v>
      </c>
      <c r="D405" s="3" t="str">
        <f>HYPERLINK("https://12go.asia/en/travel/changzhi-north/xinxiang", "12Go Link")</f>
        <v>12Go Link</v>
      </c>
      <c r="E405" s="2" t="s">
        <v>77</v>
      </c>
    </row>
    <row r="406">
      <c r="A406" s="2" t="s">
        <v>587</v>
      </c>
      <c r="B406" s="2" t="s">
        <v>588</v>
      </c>
      <c r="C406" s="2" t="s">
        <v>590</v>
      </c>
      <c r="D406" s="3" t="str">
        <f>HYPERLINK("https://12go.asia/en/travel/changzhi/xinxiang", "12Go Link")</f>
        <v>12Go Link</v>
      </c>
      <c r="E406" s="2" t="s">
        <v>77</v>
      </c>
    </row>
    <row r="407">
      <c r="A407" s="2" t="s">
        <v>392</v>
      </c>
      <c r="B407" s="2" t="s">
        <v>591</v>
      </c>
      <c r="C407" s="2" t="s">
        <v>592</v>
      </c>
      <c r="D407" s="3" t="str">
        <f>HYPERLINK("https://12go.asia/en/travel/changzhou/ankang", "12Go Link")</f>
        <v>12Go Link</v>
      </c>
      <c r="E407" s="2" t="s">
        <v>77</v>
      </c>
    </row>
    <row r="408">
      <c r="A408" s="2" t="s">
        <v>392</v>
      </c>
      <c r="B408" s="2" t="s">
        <v>442</v>
      </c>
      <c r="C408" s="2" t="s">
        <v>593</v>
      </c>
      <c r="D408" s="3" t="str">
        <f>HYPERLINK("https://12go.asia/en/travel/changzhou/cangzhou", "12Go Link")</f>
        <v>12Go Link</v>
      </c>
      <c r="E408" s="2" t="s">
        <v>77</v>
      </c>
    </row>
    <row r="409">
      <c r="A409" s="2" t="s">
        <v>392</v>
      </c>
      <c r="B409" s="2" t="s">
        <v>368</v>
      </c>
      <c r="C409" s="2" t="s">
        <v>594</v>
      </c>
      <c r="D409" s="3" t="str">
        <f>HYPERLINK("https://12go.asia/en/travel/changzhou/gansu", "12Go Link")</f>
        <v>12Go Link</v>
      </c>
      <c r="E409" s="2" t="s">
        <v>77</v>
      </c>
    </row>
    <row r="410">
      <c r="A410" s="2" t="s">
        <v>392</v>
      </c>
      <c r="B410" s="2" t="s">
        <v>595</v>
      </c>
      <c r="C410" s="2" t="s">
        <v>596</v>
      </c>
      <c r="D410" s="3" t="str">
        <f>HYPERLINK("https://12go.asia/en/travel/changzhou-north/huaihua-south", "12Go Link")</f>
        <v>12Go Link</v>
      </c>
      <c r="E410" s="2" t="s">
        <v>77</v>
      </c>
    </row>
    <row r="411">
      <c r="A411" s="2" t="s">
        <v>392</v>
      </c>
      <c r="B411" s="2" t="s">
        <v>595</v>
      </c>
      <c r="C411" s="2" t="s">
        <v>597</v>
      </c>
      <c r="D411" s="3" t="str">
        <f>HYPERLINK("https://12go.asia/en/travel/changzhou/huaihua", "12Go Link")</f>
        <v>12Go Link</v>
      </c>
      <c r="E411" s="2" t="s">
        <v>77</v>
      </c>
    </row>
    <row r="412">
      <c r="A412" s="2" t="s">
        <v>392</v>
      </c>
      <c r="B412" s="2" t="s">
        <v>598</v>
      </c>
      <c r="C412" s="2" t="s">
        <v>599</v>
      </c>
      <c r="D412" s="3" t="str">
        <f>HYPERLINK("https://12go.asia/en/travel/changzhou-north/huashan-north", "12Go Link")</f>
        <v>12Go Link</v>
      </c>
      <c r="E412" s="2" t="s">
        <v>77</v>
      </c>
    </row>
    <row r="413">
      <c r="A413" s="2" t="s">
        <v>392</v>
      </c>
      <c r="B413" s="2" t="s">
        <v>598</v>
      </c>
      <c r="C413" s="2" t="s">
        <v>600</v>
      </c>
      <c r="D413" s="3" t="str">
        <f>HYPERLINK("https://12go.asia/en/travel/changzhou/huashan", "12Go Link")</f>
        <v>12Go Link</v>
      </c>
      <c r="E413" s="2" t="s">
        <v>77</v>
      </c>
    </row>
    <row r="414">
      <c r="A414" s="2" t="s">
        <v>392</v>
      </c>
      <c r="B414" s="2" t="s">
        <v>370</v>
      </c>
      <c r="C414" s="2" t="s">
        <v>601</v>
      </c>
      <c r="D414" s="3" t="str">
        <f>HYPERLINK("https://12go.asia/en/travel/changzhou-north/lanzhou-west", "12Go Link")</f>
        <v>12Go Link</v>
      </c>
      <c r="E414" s="2" t="s">
        <v>77</v>
      </c>
    </row>
    <row r="415">
      <c r="A415" s="2" t="s">
        <v>392</v>
      </c>
      <c r="B415" s="2" t="s">
        <v>381</v>
      </c>
      <c r="C415" s="2" t="s">
        <v>602</v>
      </c>
      <c r="D415" s="3" t="str">
        <f>HYPERLINK("https://12go.asia/en/travel/changzhou/pujiangzhen", "12Go Link")</f>
        <v>12Go Link</v>
      </c>
      <c r="E415" s="2" t="s">
        <v>77</v>
      </c>
    </row>
    <row r="416">
      <c r="A416" s="2" t="s">
        <v>392</v>
      </c>
      <c r="B416" s="2" t="s">
        <v>603</v>
      </c>
      <c r="C416" s="2" t="s">
        <v>604</v>
      </c>
      <c r="D416" s="3" t="str">
        <f>HYPERLINK("https://12go.asia/en/travel/changzhou-north/shenyang", "12Go Link")</f>
        <v>12Go Link</v>
      </c>
      <c r="E416" s="2" t="s">
        <v>77</v>
      </c>
    </row>
    <row r="417">
      <c r="A417" s="2" t="s">
        <v>392</v>
      </c>
      <c r="B417" s="2" t="s">
        <v>603</v>
      </c>
      <c r="C417" s="2" t="s">
        <v>605</v>
      </c>
      <c r="D417" s="3" t="str">
        <f>HYPERLINK("https://12go.asia/en/travel/changzhou-north/shenyang-south", "12Go Link")</f>
        <v>12Go Link</v>
      </c>
      <c r="E417" s="2" t="s">
        <v>77</v>
      </c>
    </row>
    <row r="418">
      <c r="A418" s="2" t="s">
        <v>606</v>
      </c>
      <c r="B418" s="2" t="s">
        <v>557</v>
      </c>
      <c r="C418" s="2" t="s">
        <v>607</v>
      </c>
      <c r="D418" s="3" t="str">
        <f>HYPERLINK("https://12go.asia/en/travel/chaonan/luofushan", "12Go Link")</f>
        <v>12Go Link</v>
      </c>
      <c r="E418" s="2" t="s">
        <v>77</v>
      </c>
    </row>
    <row r="419">
      <c r="A419" s="2" t="s">
        <v>606</v>
      </c>
      <c r="B419" s="2" t="s">
        <v>608</v>
      </c>
      <c r="C419" s="2" t="s">
        <v>609</v>
      </c>
      <c r="D419" s="3" t="str">
        <f>HYPERLINK("https://12go.asia/en/travel/chaonan/dongguan", "12Go Link")</f>
        <v>12Go Link</v>
      </c>
      <c r="E419" s="2" t="s">
        <v>77</v>
      </c>
    </row>
    <row r="420">
      <c r="A420" s="2" t="s">
        <v>384</v>
      </c>
      <c r="B420" s="2" t="s">
        <v>610</v>
      </c>
      <c r="C420" s="2" t="s">
        <v>611</v>
      </c>
      <c r="D420" s="3" t="str">
        <f>HYPERLINK("https://12go.asia/en/travel/chaoyang-liaoning/sinuiju", "12Go Link")</f>
        <v>12Go Link</v>
      </c>
      <c r="E420" s="2" t="s">
        <v>77</v>
      </c>
    </row>
    <row r="421">
      <c r="A421" s="2" t="s">
        <v>408</v>
      </c>
      <c r="B421" s="2" t="s">
        <v>612</v>
      </c>
      <c r="C421" s="2" t="s">
        <v>613</v>
      </c>
      <c r="D421" s="3" t="str">
        <f>HYPERLINK("https://12go.asia/en/travel/chengdu-south/yongren", "12Go Link")</f>
        <v>12Go Link</v>
      </c>
      <c r="E421" s="2" t="s">
        <v>77</v>
      </c>
    </row>
    <row r="422">
      <c r="A422" s="2" t="s">
        <v>408</v>
      </c>
      <c r="B422" s="2" t="s">
        <v>614</v>
      </c>
      <c r="C422" s="2" t="s">
        <v>615</v>
      </c>
      <c r="D422" s="3" t="str">
        <f>HYPERLINK("https://12go.asia/en/travel/chengdu-west/huanglong-jiuzhai", "12Go Link")</f>
        <v>12Go Link</v>
      </c>
      <c r="E422" s="2" t="s">
        <v>77</v>
      </c>
    </row>
    <row r="423">
      <c r="A423" s="2" t="s">
        <v>408</v>
      </c>
      <c r="B423" s="2" t="s">
        <v>405</v>
      </c>
      <c r="C423" s="2" t="s">
        <v>616</v>
      </c>
      <c r="D423" s="3" t="str">
        <f>HYPERLINK("https://12go.asia/en/travel/chengdu-east/zhangjiakou", "12Go Link")</f>
        <v>12Go Link</v>
      </c>
      <c r="E423" s="2" t="s">
        <v>77</v>
      </c>
    </row>
    <row r="424">
      <c r="A424" s="2" t="s">
        <v>408</v>
      </c>
      <c r="B424" s="2" t="s">
        <v>405</v>
      </c>
      <c r="C424" s="2" t="s">
        <v>617</v>
      </c>
      <c r="D424" s="3" t="str">
        <f>HYPERLINK("https://12go.asia/en/travel/chengdu/zhangjiakou", "12Go Link")</f>
        <v>12Go Link</v>
      </c>
      <c r="E424" s="2" t="s">
        <v>77</v>
      </c>
    </row>
    <row r="425">
      <c r="A425" s="2" t="s">
        <v>408</v>
      </c>
      <c r="B425" s="2" t="s">
        <v>618</v>
      </c>
      <c r="C425" s="2" t="s">
        <v>619</v>
      </c>
      <c r="D425" s="3" t="str">
        <f>HYPERLINK("https://12go.asia/en/travel/chengdu-east/zhanjiang-west", "12Go Link")</f>
        <v>12Go Link</v>
      </c>
      <c r="E425" s="2" t="s">
        <v>77</v>
      </c>
    </row>
    <row r="426">
      <c r="A426" s="2" t="s">
        <v>620</v>
      </c>
      <c r="B426" s="2" t="s">
        <v>621</v>
      </c>
      <c r="C426" s="2" t="s">
        <v>622</v>
      </c>
      <c r="D426" s="3" t="str">
        <f>HYPERLINK("https://12go.asia/en/travel/tianfu-airport/jiangbei-airport", "12Go Link")</f>
        <v>12Go Link</v>
      </c>
      <c r="E426" s="2" t="s">
        <v>77</v>
      </c>
    </row>
    <row r="427">
      <c r="A427" s="2" t="s">
        <v>623</v>
      </c>
      <c r="B427" s="2" t="s">
        <v>624</v>
      </c>
      <c r="C427" s="2" t="s">
        <v>625</v>
      </c>
      <c r="D427" s="3" t="str">
        <f>HYPERLINK("https://12go.asia/en/travel/chongqing-west/enshi", "12Go Link")</f>
        <v>12Go Link</v>
      </c>
      <c r="E427" s="2" t="s">
        <v>77</v>
      </c>
    </row>
    <row r="428">
      <c r="A428" s="2" t="s">
        <v>623</v>
      </c>
      <c r="B428" s="2" t="s">
        <v>626</v>
      </c>
      <c r="C428" s="2" t="s">
        <v>627</v>
      </c>
      <c r="D428" s="3" t="str">
        <f>HYPERLINK("https://12go.asia/en/travel/chongqing-north/quzhou", "12Go Link")</f>
        <v>12Go Link</v>
      </c>
      <c r="E428" s="2" t="s">
        <v>77</v>
      </c>
    </row>
    <row r="429">
      <c r="A429" s="2" t="s">
        <v>623</v>
      </c>
      <c r="B429" s="2" t="s">
        <v>626</v>
      </c>
      <c r="C429" s="2" t="s">
        <v>628</v>
      </c>
      <c r="D429" s="3" t="str">
        <f>HYPERLINK("https://12go.asia/en/travel/chongqing-west/quzhou", "12Go Link")</f>
        <v>12Go Link</v>
      </c>
      <c r="E429" s="2" t="s">
        <v>77</v>
      </c>
    </row>
    <row r="430">
      <c r="A430" s="2" t="s">
        <v>623</v>
      </c>
      <c r="B430" s="2" t="s">
        <v>626</v>
      </c>
      <c r="C430" s="2" t="s">
        <v>629</v>
      </c>
      <c r="D430" s="3" t="str">
        <f>HYPERLINK("https://12go.asia/en/travel/chongqing/quzhou", "12Go Link")</f>
        <v>12Go Link</v>
      </c>
      <c r="E430" s="2" t="s">
        <v>77</v>
      </c>
    </row>
    <row r="431">
      <c r="A431" s="2" t="s">
        <v>623</v>
      </c>
      <c r="B431" s="2" t="s">
        <v>603</v>
      </c>
      <c r="C431" s="2" t="s">
        <v>630</v>
      </c>
      <c r="D431" s="3" t="str">
        <f>HYPERLINK("https://12go.asia/en/travel/chongqing-north/shenyang-north", "12Go Link")</f>
        <v>12Go Link</v>
      </c>
      <c r="E431" s="2" t="s">
        <v>77</v>
      </c>
    </row>
    <row r="432">
      <c r="A432" s="2" t="s">
        <v>623</v>
      </c>
      <c r="B432" s="2" t="s">
        <v>631</v>
      </c>
      <c r="C432" s="2" t="s">
        <v>632</v>
      </c>
      <c r="D432" s="3" t="str">
        <f>HYPERLINK("https://12go.asia/en/travel/chongqing-west/shiyan", "12Go Link")</f>
        <v>12Go Link</v>
      </c>
      <c r="E432" s="2" t="s">
        <v>77</v>
      </c>
    </row>
    <row r="433">
      <c r="A433" s="2" t="s">
        <v>633</v>
      </c>
      <c r="B433" s="2" t="s">
        <v>478</v>
      </c>
      <c r="C433" s="2" t="s">
        <v>634</v>
      </c>
      <c r="D433" s="3" t="str">
        <f>HYPERLINK("https://12go.asia/en/travel/dali/guangxi", "12Go Link")</f>
        <v>12Go Link</v>
      </c>
      <c r="E433" s="2" t="s">
        <v>77</v>
      </c>
    </row>
    <row r="434">
      <c r="A434" s="2" t="s">
        <v>633</v>
      </c>
      <c r="B434" s="2" t="s">
        <v>482</v>
      </c>
      <c r="C434" s="2" t="s">
        <v>635</v>
      </c>
      <c r="D434" s="3" t="str">
        <f>HYPERLINK("https://12go.asia/en/travel/dali/mingxi", "12Go Link")</f>
        <v>12Go Link</v>
      </c>
      <c r="E434" s="2" t="s">
        <v>77</v>
      </c>
    </row>
    <row r="435">
      <c r="A435" s="2" t="s">
        <v>633</v>
      </c>
      <c r="B435" s="2" t="s">
        <v>636</v>
      </c>
      <c r="C435" s="2" t="s">
        <v>637</v>
      </c>
      <c r="D435" s="3" t="str">
        <f>HYPERLINK("https://12go.asia/en/travel/dali-yunnan/weishan", "12Go Link")</f>
        <v>12Go Link</v>
      </c>
      <c r="E435" s="2" t="s">
        <v>77</v>
      </c>
    </row>
    <row r="436">
      <c r="A436" s="2" t="s">
        <v>633</v>
      </c>
      <c r="B436" s="2" t="s">
        <v>636</v>
      </c>
      <c r="C436" s="2" t="s">
        <v>638</v>
      </c>
      <c r="D436" s="3" t="str">
        <f>HYPERLINK("https://12go.asia/en/travel/dali/weishan-yi-and-hui", "12Go Link")</f>
        <v>12Go Link</v>
      </c>
      <c r="E436" s="2" t="s">
        <v>77</v>
      </c>
    </row>
    <row r="437">
      <c r="A437" s="2" t="s">
        <v>633</v>
      </c>
      <c r="B437" s="2" t="s">
        <v>639</v>
      </c>
      <c r="C437" s="2" t="s">
        <v>640</v>
      </c>
      <c r="D437" s="3" t="str">
        <f>HYPERLINK("https://12go.asia/en/travel/dali-yunnan/yuxi-yunnan", "12Go Link")</f>
        <v>12Go Link</v>
      </c>
      <c r="E437" s="2" t="s">
        <v>77</v>
      </c>
    </row>
    <row r="438">
      <c r="A438" s="2" t="s">
        <v>633</v>
      </c>
      <c r="B438" s="2" t="s">
        <v>639</v>
      </c>
      <c r="C438" s="2" t="s">
        <v>641</v>
      </c>
      <c r="D438" s="3" t="str">
        <f>HYPERLINK("https://12go.asia/en/travel/dali/yuxi", "12Go Link")</f>
        <v>12Go Link</v>
      </c>
      <c r="E438" s="2" t="s">
        <v>77</v>
      </c>
    </row>
    <row r="439">
      <c r="A439" s="2" t="s">
        <v>642</v>
      </c>
      <c r="B439" s="2" t="s">
        <v>402</v>
      </c>
      <c r="C439" s="2" t="s">
        <v>643</v>
      </c>
      <c r="D439" s="3" t="str">
        <f>HYPERLINK("https://12go.asia/en/travel/dalian/baoding", "12Go Link")</f>
        <v>12Go Link</v>
      </c>
      <c r="E439" s="2" t="s">
        <v>77</v>
      </c>
    </row>
    <row r="440">
      <c r="A440" s="2" t="s">
        <v>642</v>
      </c>
      <c r="B440" s="2" t="s">
        <v>384</v>
      </c>
      <c r="C440" s="2" t="s">
        <v>644</v>
      </c>
      <c r="D440" s="3" t="str">
        <f>HYPERLINK("https://12go.asia/en/travel/dalian-north/beipiao", "12Go Link")</f>
        <v>12Go Link</v>
      </c>
      <c r="E440" s="2" t="s">
        <v>77</v>
      </c>
    </row>
    <row r="441">
      <c r="A441" s="2" t="s">
        <v>642</v>
      </c>
      <c r="B441" s="2" t="s">
        <v>645</v>
      </c>
      <c r="C441" s="2" t="s">
        <v>646</v>
      </c>
      <c r="D441" s="3" t="str">
        <f>HYPERLINK("https://12go.asia/en/travel/dalian/hebei", "12Go Link")</f>
        <v>12Go Link</v>
      </c>
      <c r="E441" s="2" t="s">
        <v>77</v>
      </c>
    </row>
    <row r="442">
      <c r="A442" s="2" t="s">
        <v>642</v>
      </c>
      <c r="B442" s="2" t="s">
        <v>434</v>
      </c>
      <c r="C442" s="2" t="s">
        <v>647</v>
      </c>
      <c r="D442" s="3" t="str">
        <f>HYPERLINK("https://12go.asia/en/travel/dalian/hohhot-east", "12Go Link")</f>
        <v>12Go Link</v>
      </c>
      <c r="E442" s="2" t="s">
        <v>77</v>
      </c>
    </row>
    <row r="443">
      <c r="A443" s="2" t="s">
        <v>642</v>
      </c>
      <c r="B443" s="2" t="s">
        <v>648</v>
      </c>
      <c r="C443" s="2" t="s">
        <v>649</v>
      </c>
      <c r="D443" s="3" t="str">
        <f>HYPERLINK("https://12go.asia/en/travel/dalian/jiangzhou", "12Go Link")</f>
        <v>12Go Link</v>
      </c>
      <c r="E443" s="2" t="s">
        <v>77</v>
      </c>
    </row>
    <row r="444">
      <c r="A444" s="2" t="s">
        <v>642</v>
      </c>
      <c r="B444" s="2" t="s">
        <v>650</v>
      </c>
      <c r="C444" s="2" t="s">
        <v>651</v>
      </c>
      <c r="D444" s="3" t="str">
        <f>HYPERLINK("https://12go.asia/en/travel/dalian/jiaocheng", "12Go Link")</f>
        <v>12Go Link</v>
      </c>
      <c r="E444" s="2" t="s">
        <v>77</v>
      </c>
    </row>
    <row r="445">
      <c r="A445" s="2" t="s">
        <v>642</v>
      </c>
      <c r="B445" s="2" t="s">
        <v>652</v>
      </c>
      <c r="C445" s="2" t="s">
        <v>653</v>
      </c>
      <c r="D445" s="3" t="str">
        <f>HYPERLINK("https://12go.asia/en/travel/dalian-north/zhuanghe-north", "12Go Link")</f>
        <v>12Go Link</v>
      </c>
      <c r="E445" s="2" t="s">
        <v>77</v>
      </c>
    </row>
    <row r="446">
      <c r="A446" s="2" t="s">
        <v>642</v>
      </c>
      <c r="B446" s="2" t="s">
        <v>654</v>
      </c>
      <c r="C446" s="2" t="s">
        <v>655</v>
      </c>
      <c r="D446" s="3" t="str">
        <f>HYPERLINK("https://12go.asia/en/travel/dalian/songyuan", "12Go Link")</f>
        <v>12Go Link</v>
      </c>
      <c r="E446" s="2" t="s">
        <v>77</v>
      </c>
    </row>
    <row r="447">
      <c r="A447" s="2" t="s">
        <v>642</v>
      </c>
      <c r="B447" s="2" t="s">
        <v>656</v>
      </c>
      <c r="C447" s="2" t="s">
        <v>657</v>
      </c>
      <c r="D447" s="3" t="str">
        <f>HYPERLINK("https://12go.asia/en/travel/dalian-north/suihua", "12Go Link")</f>
        <v>12Go Link</v>
      </c>
      <c r="E447" s="2" t="s">
        <v>77</v>
      </c>
    </row>
    <row r="448">
      <c r="A448" s="2" t="s">
        <v>642</v>
      </c>
      <c r="B448" s="2" t="s">
        <v>656</v>
      </c>
      <c r="C448" s="2" t="s">
        <v>658</v>
      </c>
      <c r="D448" s="3" t="str">
        <f>HYPERLINK("https://12go.asia/en/travel/dalian/suihua", "12Go Link")</f>
        <v>12Go Link</v>
      </c>
      <c r="E448" s="2" t="s">
        <v>77</v>
      </c>
    </row>
    <row r="449">
      <c r="A449" s="2" t="s">
        <v>642</v>
      </c>
      <c r="B449" s="2" t="s">
        <v>388</v>
      </c>
      <c r="C449" s="2" t="s">
        <v>659</v>
      </c>
      <c r="D449" s="3" t="str">
        <f>HYPERLINK("https://12go.asia/en/travel/dalian-north/beijing-chaoyang", "12Go Link")</f>
        <v>12Go Link</v>
      </c>
      <c r="E449" s="2" t="s">
        <v>77</v>
      </c>
    </row>
    <row r="450">
      <c r="A450" s="2" t="s">
        <v>642</v>
      </c>
      <c r="B450" s="2" t="s">
        <v>388</v>
      </c>
      <c r="C450" s="2" t="s">
        <v>660</v>
      </c>
      <c r="D450" s="3" t="str">
        <f>HYPERLINK("https://12go.asia/en/travel/dalian/tacheng", "12Go Link")</f>
        <v>12Go Link</v>
      </c>
      <c r="E450" s="2" t="s">
        <v>77</v>
      </c>
    </row>
    <row r="451">
      <c r="A451" s="2" t="s">
        <v>642</v>
      </c>
      <c r="B451" s="2" t="s">
        <v>436</v>
      </c>
      <c r="C451" s="2" t="s">
        <v>661</v>
      </c>
      <c r="D451" s="3" t="str">
        <f>HYPERLINK("https://12go.asia/en/travel/dalian/taian", "12Go Link")</f>
        <v>12Go Link</v>
      </c>
      <c r="E451" s="2" t="s">
        <v>77</v>
      </c>
    </row>
    <row r="452">
      <c r="A452" s="2" t="s">
        <v>642</v>
      </c>
      <c r="B452" s="2" t="s">
        <v>662</v>
      </c>
      <c r="C452" s="2" t="s">
        <v>663</v>
      </c>
      <c r="D452" s="3" t="str">
        <f>HYPERLINK("https://12go.asia/en/travel/dalian/tianxin", "12Go Link")</f>
        <v>12Go Link</v>
      </c>
      <c r="E452" s="2" t="s">
        <v>77</v>
      </c>
    </row>
    <row r="453">
      <c r="A453" s="2" t="s">
        <v>642</v>
      </c>
      <c r="B453" s="2" t="s">
        <v>664</v>
      </c>
      <c r="C453" s="2" t="s">
        <v>665</v>
      </c>
      <c r="D453" s="3" t="str">
        <f>HYPERLINK("https://12go.asia/en/travel/dalian/xinyi", "12Go Link")</f>
        <v>12Go Link</v>
      </c>
      <c r="E453" s="2" t="s">
        <v>77</v>
      </c>
    </row>
    <row r="454">
      <c r="A454" s="2" t="s">
        <v>642</v>
      </c>
      <c r="B454" s="2" t="s">
        <v>666</v>
      </c>
      <c r="C454" s="2" t="s">
        <v>667</v>
      </c>
      <c r="D454" s="3" t="str">
        <f>HYPERLINK("https://12go.asia/en/travel/dalian/yijiang", "12Go Link")</f>
        <v>12Go Link</v>
      </c>
      <c r="E454" s="2" t="s">
        <v>77</v>
      </c>
    </row>
    <row r="455">
      <c r="A455" s="2" t="s">
        <v>668</v>
      </c>
      <c r="B455" s="2" t="s">
        <v>669</v>
      </c>
      <c r="C455" s="2" t="s">
        <v>670</v>
      </c>
      <c r="D455" s="3" t="str">
        <f>HYPERLINK("https://12go.asia/en/travel/dandong/jilin", "12Go Link")</f>
        <v>12Go Link</v>
      </c>
      <c r="E455" s="2" t="s">
        <v>77</v>
      </c>
    </row>
    <row r="456">
      <c r="A456" s="2" t="s">
        <v>671</v>
      </c>
      <c r="B456" s="2" t="s">
        <v>672</v>
      </c>
      <c r="C456" s="2" t="s">
        <v>673</v>
      </c>
      <c r="D456" s="3" t="str">
        <f>HYPERLINK("https://12go.asia/en/travel/daqing/jiamusi", "12Go Link")</f>
        <v>12Go Link</v>
      </c>
      <c r="E456" s="2" t="s">
        <v>77</v>
      </c>
    </row>
    <row r="457">
      <c r="A457" s="2" t="s">
        <v>671</v>
      </c>
      <c r="B457" s="2" t="s">
        <v>652</v>
      </c>
      <c r="C457" s="2" t="s">
        <v>674</v>
      </c>
      <c r="D457" s="3" t="str">
        <f>HYPERLINK("https://12go.asia/en/travel/daqing/liaoning", "12Go Link")</f>
        <v>12Go Link</v>
      </c>
      <c r="E457" s="2" t="s">
        <v>77</v>
      </c>
    </row>
    <row r="458">
      <c r="A458" s="2" t="s">
        <v>671</v>
      </c>
      <c r="B458" s="2" t="s">
        <v>675</v>
      </c>
      <c r="C458" s="2" t="s">
        <v>676</v>
      </c>
      <c r="D458" s="3" t="str">
        <f>HYPERLINK("https://12go.asia/en/travel/daqing-east/qinhuangdao", "12Go Link")</f>
        <v>12Go Link</v>
      </c>
      <c r="E458" s="2" t="s">
        <v>77</v>
      </c>
    </row>
    <row r="459">
      <c r="A459" s="2" t="s">
        <v>671</v>
      </c>
      <c r="B459" s="2" t="s">
        <v>675</v>
      </c>
      <c r="C459" s="2" t="s">
        <v>677</v>
      </c>
      <c r="D459" s="3" t="str">
        <f>HYPERLINK("https://12go.asia/en/travel/daqing/qinhuangdao", "12Go Link")</f>
        <v>12Go Link</v>
      </c>
      <c r="E459" s="2" t="s">
        <v>77</v>
      </c>
    </row>
    <row r="460">
      <c r="A460" s="2" t="s">
        <v>671</v>
      </c>
      <c r="B460" s="2" t="s">
        <v>678</v>
      </c>
      <c r="C460" s="2" t="s">
        <v>679</v>
      </c>
      <c r="D460" s="3" t="str">
        <f>HYPERLINK("https://12go.asia/en/travel/daqing-east/qiqihar", "12Go Link")</f>
        <v>12Go Link</v>
      </c>
      <c r="E460" s="2" t="s">
        <v>77</v>
      </c>
    </row>
    <row r="461">
      <c r="A461" s="2" t="s">
        <v>671</v>
      </c>
      <c r="B461" s="2" t="s">
        <v>678</v>
      </c>
      <c r="C461" s="2" t="s">
        <v>680</v>
      </c>
      <c r="D461" s="3" t="str">
        <f>HYPERLINK("https://12go.asia/en/travel/daqing-east/qiqihar-south", "12Go Link")</f>
        <v>12Go Link</v>
      </c>
      <c r="E461" s="2" t="s">
        <v>77</v>
      </c>
    </row>
    <row r="462">
      <c r="A462" s="2" t="s">
        <v>671</v>
      </c>
      <c r="B462" s="2" t="s">
        <v>678</v>
      </c>
      <c r="C462" s="2" t="s">
        <v>681</v>
      </c>
      <c r="D462" s="3" t="str">
        <f>HYPERLINK("https://12go.asia/en/travel/daqing/qiqihar", "12Go Link")</f>
        <v>12Go Link</v>
      </c>
      <c r="E462" s="2" t="s">
        <v>77</v>
      </c>
    </row>
    <row r="463">
      <c r="A463" s="2" t="s">
        <v>671</v>
      </c>
      <c r="B463" s="2" t="s">
        <v>378</v>
      </c>
      <c r="C463" s="2" t="s">
        <v>682</v>
      </c>
      <c r="D463" s="3" t="str">
        <f>HYPERLINK("https://12go.asia/en/travel/daqing/xunxian", "12Go Link")</f>
        <v>12Go Link</v>
      </c>
      <c r="E463" s="2" t="s">
        <v>77</v>
      </c>
    </row>
    <row r="464">
      <c r="A464" s="2" t="s">
        <v>683</v>
      </c>
      <c r="B464" s="2" t="s">
        <v>442</v>
      </c>
      <c r="C464" s="2" t="s">
        <v>684</v>
      </c>
      <c r="D464" s="3" t="str">
        <f>HYPERLINK("https://12go.asia/en/travel/dezhou/cangzhou", "12Go Link")</f>
        <v>12Go Link</v>
      </c>
      <c r="E464" s="2" t="s">
        <v>77</v>
      </c>
    </row>
    <row r="465">
      <c r="A465" s="2" t="s">
        <v>683</v>
      </c>
      <c r="B465" s="2" t="s">
        <v>685</v>
      </c>
      <c r="C465" s="2" t="s">
        <v>686</v>
      </c>
      <c r="D465" s="3" t="str">
        <f>HYPERLINK("https://12go.asia/en/travel/dezhou-east/funing-south", "12Go Link")</f>
        <v>12Go Link</v>
      </c>
      <c r="E465" s="2" t="s">
        <v>77</v>
      </c>
    </row>
    <row r="466">
      <c r="A466" s="2" t="s">
        <v>683</v>
      </c>
      <c r="B466" s="2" t="s">
        <v>685</v>
      </c>
      <c r="C466" s="2" t="s">
        <v>687</v>
      </c>
      <c r="D466" s="3" t="str">
        <f>HYPERLINK("https://12go.asia/en/travel/dezhou/fusui", "12Go Link")</f>
        <v>12Go Link</v>
      </c>
      <c r="E466" s="2" t="s">
        <v>77</v>
      </c>
    </row>
    <row r="467">
      <c r="A467" s="2" t="s">
        <v>688</v>
      </c>
      <c r="B467" s="2" t="s">
        <v>689</v>
      </c>
      <c r="C467" s="2" t="s">
        <v>690</v>
      </c>
      <c r="D467" s="3" t="str">
        <f>HYPERLINK("https://12go.asia/en/travel/dongcheng-south/duanzhou", "12Go Link")</f>
        <v>12Go Link</v>
      </c>
      <c r="E467" s="2" t="s">
        <v>77</v>
      </c>
    </row>
    <row r="468">
      <c r="A468" s="2" t="s">
        <v>688</v>
      </c>
      <c r="B468" s="2" t="s">
        <v>691</v>
      </c>
      <c r="C468" s="2" t="s">
        <v>692</v>
      </c>
      <c r="D468" s="3" t="str">
        <f>HYPERLINK("https://12go.asia/en/travel/dongcheng-south/jingmen", "12Go Link")</f>
        <v>12Go Link</v>
      </c>
      <c r="E468" s="2" t="s">
        <v>77</v>
      </c>
    </row>
    <row r="469">
      <c r="A469" s="2" t="s">
        <v>688</v>
      </c>
      <c r="B469" s="2" t="s">
        <v>693</v>
      </c>
      <c r="C469" s="2" t="s">
        <v>694</v>
      </c>
      <c r="D469" s="3" t="str">
        <f>HYPERLINK("https://12go.asia/en/travel/dongcheng-south/maoming", "12Go Link")</f>
        <v>12Go Link</v>
      </c>
      <c r="E469" s="2" t="s">
        <v>77</v>
      </c>
    </row>
    <row r="470">
      <c r="A470" s="2" t="s">
        <v>608</v>
      </c>
      <c r="B470" s="2" t="s">
        <v>514</v>
      </c>
      <c r="C470" s="2" t="s">
        <v>695</v>
      </c>
      <c r="D470" s="3" t="str">
        <f>HYPERLINK("https://12go.asia/en/travel/dongguan-east/qujing", "12Go Link")</f>
        <v>12Go Link</v>
      </c>
      <c r="E470" s="2" t="s">
        <v>77</v>
      </c>
    </row>
    <row r="471">
      <c r="A471" s="2" t="s">
        <v>608</v>
      </c>
      <c r="B471" s="2" t="s">
        <v>514</v>
      </c>
      <c r="C471" s="2" t="s">
        <v>696</v>
      </c>
      <c r="D471" s="3" t="str">
        <f>HYPERLINK("https://12go.asia/en/travel/dongguan/qujing", "12Go Link")</f>
        <v>12Go Link</v>
      </c>
      <c r="E471" s="2" t="s">
        <v>77</v>
      </c>
    </row>
    <row r="472">
      <c r="A472" s="2" t="s">
        <v>608</v>
      </c>
      <c r="B472" s="2" t="s">
        <v>697</v>
      </c>
      <c r="C472" s="2" t="s">
        <v>698</v>
      </c>
      <c r="D472" s="3" t="str">
        <f>HYPERLINK("https://12go.asia/en/travel/dongguan/taizhou", "12Go Link")</f>
        <v>12Go Link</v>
      </c>
      <c r="E472" s="2" t="s">
        <v>77</v>
      </c>
    </row>
    <row r="473">
      <c r="A473" s="2" t="s">
        <v>608</v>
      </c>
      <c r="B473" s="2" t="s">
        <v>697</v>
      </c>
      <c r="C473" s="2" t="s">
        <v>699</v>
      </c>
      <c r="D473" s="3" t="str">
        <f>HYPERLINK("https://12go.asia/en/travel/dongguan/taizhou-zhejiang", "12Go Link")</f>
        <v>12Go Link</v>
      </c>
      <c r="E473" s="2" t="s">
        <v>77</v>
      </c>
    </row>
    <row r="474">
      <c r="A474" s="2" t="s">
        <v>608</v>
      </c>
      <c r="B474" s="2" t="s">
        <v>560</v>
      </c>
      <c r="C474" s="2" t="s">
        <v>700</v>
      </c>
      <c r="D474" s="3" t="str">
        <f>HYPERLINK("https://12go.asia/en/travel/dongguan/zhuzhou", "12Go Link")</f>
        <v>12Go Link</v>
      </c>
      <c r="E474" s="2" t="s">
        <v>77</v>
      </c>
    </row>
    <row r="475">
      <c r="A475" s="2" t="s">
        <v>701</v>
      </c>
      <c r="B475" s="2" t="s">
        <v>702</v>
      </c>
      <c r="C475" s="2" t="s">
        <v>703</v>
      </c>
      <c r="D475" s="3" t="str">
        <f>HYPERLINK("https://12go.asia/en/travel/duan-yao/humen-town", "12Go Link")</f>
        <v>12Go Link</v>
      </c>
      <c r="E475" s="2" t="s">
        <v>77</v>
      </c>
    </row>
    <row r="476">
      <c r="A476" s="2" t="s">
        <v>689</v>
      </c>
      <c r="B476" s="2" t="s">
        <v>420</v>
      </c>
      <c r="C476" s="2" t="s">
        <v>704</v>
      </c>
      <c r="D476" s="3" t="str">
        <f>HYPERLINK("https://12go.asia/en/travel/duanzhou/songjiang-shanghai", "12Go Link")</f>
        <v>12Go Link</v>
      </c>
      <c r="E476" s="2" t="s">
        <v>77</v>
      </c>
    </row>
    <row r="477">
      <c r="A477" s="2" t="s">
        <v>624</v>
      </c>
      <c r="B477" s="2" t="s">
        <v>392</v>
      </c>
      <c r="C477" s="2" t="s">
        <v>705</v>
      </c>
      <c r="D477" s="3" t="str">
        <f>HYPERLINK("https://12go.asia/en/travel/enshi/changzhou", "12Go Link")</f>
        <v>12Go Link</v>
      </c>
      <c r="E477" s="2" t="s">
        <v>77</v>
      </c>
    </row>
    <row r="478">
      <c r="A478" s="2" t="s">
        <v>624</v>
      </c>
      <c r="B478" s="2" t="s">
        <v>392</v>
      </c>
      <c r="C478" s="2" t="s">
        <v>706</v>
      </c>
      <c r="D478" s="3" t="str">
        <f>HYPERLINK("https://12go.asia/en/travel/enshi/jintan", "12Go Link")</f>
        <v>12Go Link</v>
      </c>
      <c r="E478" s="2" t="s">
        <v>77</v>
      </c>
    </row>
    <row r="479">
      <c r="A479" s="2" t="s">
        <v>624</v>
      </c>
      <c r="B479" s="2" t="s">
        <v>392</v>
      </c>
      <c r="C479" s="2" t="s">
        <v>707</v>
      </c>
      <c r="D479" s="3" t="str">
        <f>HYPERLINK("https://12go.asia/en/travel/enshi/wujin", "12Go Link")</f>
        <v>12Go Link</v>
      </c>
      <c r="E479" s="2" t="s">
        <v>77</v>
      </c>
    </row>
    <row r="480">
      <c r="A480" s="2" t="s">
        <v>708</v>
      </c>
      <c r="B480" s="2" t="s">
        <v>459</v>
      </c>
      <c r="C480" s="2" t="s">
        <v>709</v>
      </c>
      <c r="D480" s="3" t="str">
        <f>HYPERLINK("https://12go.asia/en/travel/fenghuanggucheng/shanghai-south", "12Go Link")</f>
        <v>12Go Link</v>
      </c>
      <c r="E480" s="2" t="s">
        <v>77</v>
      </c>
    </row>
    <row r="481">
      <c r="A481" s="2" t="s">
        <v>710</v>
      </c>
      <c r="B481" s="2" t="s">
        <v>711</v>
      </c>
      <c r="C481" s="2" t="s">
        <v>712</v>
      </c>
      <c r="D481" s="3" t="str">
        <f>HYPERLINK("https://12go.asia/en/travel/fuding/guangdong", "12Go Link")</f>
        <v>12Go Link</v>
      </c>
      <c r="E481" s="2" t="s">
        <v>77</v>
      </c>
    </row>
    <row r="482">
      <c r="A482" s="2" t="s">
        <v>710</v>
      </c>
      <c r="B482" s="2" t="s">
        <v>713</v>
      </c>
      <c r="C482" s="2" t="s">
        <v>714</v>
      </c>
      <c r="D482" s="3" t="str">
        <f>HYPERLINK("https://12go.asia/en/travel/fuding/guangzhou", "12Go Link")</f>
        <v>12Go Link</v>
      </c>
      <c r="E482" s="2" t="s">
        <v>77</v>
      </c>
    </row>
    <row r="483">
      <c r="A483" s="2" t="s">
        <v>710</v>
      </c>
      <c r="B483" s="2" t="s">
        <v>713</v>
      </c>
      <c r="C483" s="2" t="s">
        <v>715</v>
      </c>
      <c r="D483" s="3" t="str">
        <f>HYPERLINK("https://12go.asia/en/travel/fuding/guangzhou-east", "12Go Link")</f>
        <v>12Go Link</v>
      </c>
      <c r="E483" s="2" t="s">
        <v>77</v>
      </c>
    </row>
    <row r="484">
      <c r="A484" s="2" t="s">
        <v>710</v>
      </c>
      <c r="B484" s="2" t="s">
        <v>716</v>
      </c>
      <c r="C484" s="2" t="s">
        <v>717</v>
      </c>
      <c r="D484" s="3" t="str">
        <f>HYPERLINK("https://12go.asia/en/travel/fuding/quanzhou", "12Go Link")</f>
        <v>12Go Link</v>
      </c>
      <c r="E484" s="2" t="s">
        <v>77</v>
      </c>
    </row>
    <row r="485">
      <c r="A485" s="2" t="s">
        <v>710</v>
      </c>
      <c r="B485" s="2" t="s">
        <v>420</v>
      </c>
      <c r="C485" s="2" t="s">
        <v>718</v>
      </c>
      <c r="D485" s="3" t="str">
        <f>HYPERLINK("https://12go.asia/en/travel/fuding/shanghai-songjiang", "12Go Link")</f>
        <v>12Go Link</v>
      </c>
      <c r="E485" s="2" t="s">
        <v>77</v>
      </c>
    </row>
    <row r="486">
      <c r="A486" s="2" t="s">
        <v>710</v>
      </c>
      <c r="B486" s="2" t="s">
        <v>420</v>
      </c>
      <c r="C486" s="2" t="s">
        <v>719</v>
      </c>
      <c r="D486" s="3" t="str">
        <f>HYPERLINK("https://12go.asia/en/travel/fuding/songjiang-shanghai", "12Go Link")</f>
        <v>12Go Link</v>
      </c>
      <c r="E486" s="2" t="s">
        <v>77</v>
      </c>
    </row>
    <row r="487">
      <c r="A487" s="2" t="s">
        <v>720</v>
      </c>
      <c r="B487" s="2" t="s">
        <v>683</v>
      </c>
      <c r="C487" s="2" t="s">
        <v>721</v>
      </c>
      <c r="D487" s="3" t="str">
        <f>HYPERLINK("https://12go.asia/en/travel/fujian/dezhou", "12Go Link")</f>
        <v>12Go Link</v>
      </c>
      <c r="E487" s="2" t="s">
        <v>77</v>
      </c>
    </row>
    <row r="488">
      <c r="A488" s="2" t="s">
        <v>720</v>
      </c>
      <c r="B488" s="2" t="s">
        <v>722</v>
      </c>
      <c r="C488" s="2" t="s">
        <v>723</v>
      </c>
      <c r="D488" s="3" t="str">
        <f>HYPERLINK("https://12go.asia/en/travel/fujian/huizhou", "12Go Link")</f>
        <v>12Go Link</v>
      </c>
      <c r="E488" s="2" t="s">
        <v>77</v>
      </c>
    </row>
    <row r="489">
      <c r="A489" s="2" t="s">
        <v>720</v>
      </c>
      <c r="B489" s="2" t="s">
        <v>724</v>
      </c>
      <c r="C489" s="2" t="s">
        <v>725</v>
      </c>
      <c r="D489" s="3" t="str">
        <f>HYPERLINK("https://12go.asia/en/travel/fujian/jiangbei", "12Go Link")</f>
        <v>12Go Link</v>
      </c>
      <c r="E489" s="2" t="s">
        <v>77</v>
      </c>
    </row>
    <row r="490">
      <c r="A490" s="2" t="s">
        <v>720</v>
      </c>
      <c r="B490" s="2" t="s">
        <v>726</v>
      </c>
      <c r="C490" s="2" t="s">
        <v>727</v>
      </c>
      <c r="D490" s="3" t="str">
        <f>HYPERLINK("https://12go.asia/en/travel/fujian/jiangjin", "12Go Link")</f>
        <v>12Go Link</v>
      </c>
      <c r="E490" s="2" t="s">
        <v>77</v>
      </c>
    </row>
    <row r="491">
      <c r="A491" s="2" t="s">
        <v>720</v>
      </c>
      <c r="B491" s="2" t="s">
        <v>728</v>
      </c>
      <c r="C491" s="2" t="s">
        <v>729</v>
      </c>
      <c r="D491" s="3" t="str">
        <f>HYPERLINK("https://12go.asia/en/travel/fujian/jiangxia", "12Go Link")</f>
        <v>12Go Link</v>
      </c>
      <c r="E491" s="2" t="s">
        <v>77</v>
      </c>
    </row>
    <row r="492">
      <c r="A492" s="2" t="s">
        <v>720</v>
      </c>
      <c r="B492" s="2" t="s">
        <v>730</v>
      </c>
      <c r="C492" s="2" t="s">
        <v>731</v>
      </c>
      <c r="D492" s="3" t="str">
        <f>HYPERLINK("https://12go.asia/en/travel/fujian/jiangyuan", "12Go Link")</f>
        <v>12Go Link</v>
      </c>
      <c r="E492" s="2" t="s">
        <v>77</v>
      </c>
    </row>
    <row r="493">
      <c r="A493" s="2" t="s">
        <v>720</v>
      </c>
      <c r="B493" s="2" t="s">
        <v>381</v>
      </c>
      <c r="C493" s="2" t="s">
        <v>732</v>
      </c>
      <c r="D493" s="3" t="str">
        <f>HYPERLINK("https://12go.asia/en/travel/fujian/pujiangzhen", "12Go Link")</f>
        <v>12Go Link</v>
      </c>
      <c r="E493" s="2" t="s">
        <v>77</v>
      </c>
    </row>
    <row r="494">
      <c r="A494" s="2" t="s">
        <v>720</v>
      </c>
      <c r="B494" s="2" t="s">
        <v>733</v>
      </c>
      <c r="C494" s="2" t="s">
        <v>734</v>
      </c>
      <c r="D494" s="3" t="str">
        <f>HYPERLINK("https://12go.asia/en/travel/fujian/qingzhen", "12Go Link")</f>
        <v>12Go Link</v>
      </c>
      <c r="E494" s="2" t="s">
        <v>77</v>
      </c>
    </row>
    <row r="495">
      <c r="A495" s="2" t="s">
        <v>720</v>
      </c>
      <c r="B495" s="2" t="s">
        <v>575</v>
      </c>
      <c r="C495" s="2" t="s">
        <v>735</v>
      </c>
      <c r="D495" s="3" t="str">
        <f>HYPERLINK("https://12go.asia/en/travel/fujian/zhangjiagang", "12Go Link")</f>
        <v>12Go Link</v>
      </c>
      <c r="E495" s="2" t="s">
        <v>77</v>
      </c>
    </row>
    <row r="496">
      <c r="A496" s="2" t="s">
        <v>736</v>
      </c>
      <c r="B496" s="2" t="s">
        <v>380</v>
      </c>
      <c r="C496" s="2" t="s">
        <v>737</v>
      </c>
      <c r="D496" s="3" t="str">
        <f>HYPERLINK("https://12go.asia/en/travel/funing/anhui", "12Go Link")</f>
        <v>12Go Link</v>
      </c>
      <c r="E496" s="2" t="s">
        <v>77</v>
      </c>
    </row>
    <row r="497">
      <c r="A497" s="2" t="s">
        <v>736</v>
      </c>
      <c r="B497" s="2" t="s">
        <v>491</v>
      </c>
      <c r="C497" s="2" t="s">
        <v>738</v>
      </c>
      <c r="D497" s="3" t="str">
        <f>HYPERLINK("https://12go.asia/en/travel/funing/beijing", "12Go Link")</f>
        <v>12Go Link</v>
      </c>
      <c r="E497" s="2" t="s">
        <v>77</v>
      </c>
    </row>
    <row r="498">
      <c r="A498" s="2" t="s">
        <v>736</v>
      </c>
      <c r="B498" s="2" t="s">
        <v>739</v>
      </c>
      <c r="C498" s="2" t="s">
        <v>740</v>
      </c>
      <c r="D498" s="3" t="str">
        <f>HYPERLINK("https://12go.asia/en/travel/funing/dexing", "12Go Link")</f>
        <v>12Go Link</v>
      </c>
      <c r="E498" s="2" t="s">
        <v>77</v>
      </c>
    </row>
    <row r="499">
      <c r="A499" s="2" t="s">
        <v>736</v>
      </c>
      <c r="B499" s="2" t="s">
        <v>720</v>
      </c>
      <c r="C499" s="2" t="s">
        <v>741</v>
      </c>
      <c r="D499" s="3" t="str">
        <f>HYPERLINK("https://12go.asia/en/travel/funing/fujian", "12Go Link")</f>
        <v>12Go Link</v>
      </c>
      <c r="E499" s="2" t="s">
        <v>77</v>
      </c>
    </row>
    <row r="500">
      <c r="A500" s="2" t="s">
        <v>736</v>
      </c>
      <c r="B500" s="2" t="s">
        <v>742</v>
      </c>
      <c r="C500" s="2" t="s">
        <v>743</v>
      </c>
      <c r="D500" s="3" t="str">
        <f>HYPERLINK("https://12go.asia/en/travel/funing/fuzhou", "12Go Link")</f>
        <v>12Go Link</v>
      </c>
      <c r="E500" s="2" t="s">
        <v>77</v>
      </c>
    </row>
    <row r="501">
      <c r="A501" s="2" t="s">
        <v>736</v>
      </c>
      <c r="B501" s="2" t="s">
        <v>711</v>
      </c>
      <c r="C501" s="2" t="s">
        <v>744</v>
      </c>
      <c r="D501" s="3" t="str">
        <f>HYPERLINK("https://12go.asia/en/travel/funing/guangdong", "12Go Link")</f>
        <v>12Go Link</v>
      </c>
      <c r="E501" s="2" t="s">
        <v>77</v>
      </c>
    </row>
    <row r="502">
      <c r="A502" s="2" t="s">
        <v>736</v>
      </c>
      <c r="B502" s="2" t="s">
        <v>713</v>
      </c>
      <c r="C502" s="2" t="s">
        <v>745</v>
      </c>
      <c r="D502" s="3" t="str">
        <f>HYPERLINK("https://12go.asia/en/travel/funing/guangzhou", "12Go Link")</f>
        <v>12Go Link</v>
      </c>
      <c r="E502" s="2" t="s">
        <v>77</v>
      </c>
    </row>
    <row r="503">
      <c r="A503" s="2" t="s">
        <v>736</v>
      </c>
      <c r="B503" s="2" t="s">
        <v>746</v>
      </c>
      <c r="C503" s="2" t="s">
        <v>747</v>
      </c>
      <c r="D503" s="3" t="str">
        <f>HYPERLINK("https://12go.asia/en/travel/fuliang-east/hangzhou-west", "12Go Link")</f>
        <v>12Go Link</v>
      </c>
      <c r="E503" s="2" t="s">
        <v>77</v>
      </c>
    </row>
    <row r="504">
      <c r="A504" s="2" t="s">
        <v>736</v>
      </c>
      <c r="B504" s="2" t="s">
        <v>748</v>
      </c>
      <c r="C504" s="2" t="s">
        <v>749</v>
      </c>
      <c r="D504" s="3" t="str">
        <f>HYPERLINK("https://12go.asia/en/travel/funing/hefei", "12Go Link")</f>
        <v>12Go Link</v>
      </c>
      <c r="E504" s="2" t="s">
        <v>77</v>
      </c>
    </row>
    <row r="505">
      <c r="A505" s="2" t="s">
        <v>736</v>
      </c>
      <c r="B505" s="2" t="s">
        <v>750</v>
      </c>
      <c r="C505" s="2" t="s">
        <v>751</v>
      </c>
      <c r="D505" s="3" t="str">
        <f>HYPERLINK("https://12go.asia/en/travel/funing/henan", "12Go Link")</f>
        <v>12Go Link</v>
      </c>
      <c r="E505" s="2" t="s">
        <v>77</v>
      </c>
    </row>
    <row r="506">
      <c r="A506" s="2" t="s">
        <v>736</v>
      </c>
      <c r="B506" s="2" t="s">
        <v>752</v>
      </c>
      <c r="C506" s="2" t="s">
        <v>753</v>
      </c>
      <c r="D506" s="3" t="str">
        <f>HYPERLINK("https://12go.asia/en/travel/fuliang-east/huangshan-north", "12Go Link")</f>
        <v>12Go Link</v>
      </c>
      <c r="E506" s="2" t="s">
        <v>77</v>
      </c>
    </row>
    <row r="507">
      <c r="A507" s="2" t="s">
        <v>736</v>
      </c>
      <c r="B507" s="2" t="s">
        <v>752</v>
      </c>
      <c r="C507" s="2" t="s">
        <v>754</v>
      </c>
      <c r="D507" s="3" t="str">
        <f>HYPERLINK("https://12go.asia/en/travel/funing/huangshan", "12Go Link")</f>
        <v>12Go Link</v>
      </c>
      <c r="E507" s="2" t="s">
        <v>77</v>
      </c>
    </row>
    <row r="508">
      <c r="A508" s="2" t="s">
        <v>736</v>
      </c>
      <c r="B508" s="2" t="s">
        <v>722</v>
      </c>
      <c r="C508" s="2" t="s">
        <v>755</v>
      </c>
      <c r="D508" s="3" t="str">
        <f>HYPERLINK("https://12go.asia/en/travel/funing/huizhou", "12Go Link")</f>
        <v>12Go Link</v>
      </c>
      <c r="E508" s="2" t="s">
        <v>77</v>
      </c>
    </row>
    <row r="509">
      <c r="A509" s="2" t="s">
        <v>736</v>
      </c>
      <c r="B509" s="2" t="s">
        <v>724</v>
      </c>
      <c r="C509" s="2" t="s">
        <v>756</v>
      </c>
      <c r="D509" s="3" t="str">
        <f>HYPERLINK("https://12go.asia/en/travel/funing/jiangbei", "12Go Link")</f>
        <v>12Go Link</v>
      </c>
      <c r="E509" s="2" t="s">
        <v>77</v>
      </c>
    </row>
    <row r="510">
      <c r="A510" s="2" t="s">
        <v>736</v>
      </c>
      <c r="B510" s="2" t="s">
        <v>450</v>
      </c>
      <c r="C510" s="2" t="s">
        <v>757</v>
      </c>
      <c r="D510" s="3" t="str">
        <f>HYPERLINK("https://12go.asia/en/travel/funing/jiangning", "12Go Link")</f>
        <v>12Go Link</v>
      </c>
      <c r="E510" s="2" t="s">
        <v>77</v>
      </c>
    </row>
    <row r="511">
      <c r="A511" s="2" t="s">
        <v>736</v>
      </c>
      <c r="B511" s="2" t="s">
        <v>452</v>
      </c>
      <c r="C511" s="2" t="s">
        <v>758</v>
      </c>
      <c r="D511" s="3" t="str">
        <f>HYPERLINK("https://12go.asia/en/travel/funing/jiangsu", "12Go Link")</f>
        <v>12Go Link</v>
      </c>
      <c r="E511" s="2" t="s">
        <v>77</v>
      </c>
    </row>
    <row r="512">
      <c r="A512" s="2" t="s">
        <v>736</v>
      </c>
      <c r="B512" s="2" t="s">
        <v>759</v>
      </c>
      <c r="C512" s="2" t="s">
        <v>760</v>
      </c>
      <c r="D512" s="3" t="str">
        <f>HYPERLINK("https://12go.asia/en/travel/funing/jiangxi", "12Go Link")</f>
        <v>12Go Link</v>
      </c>
      <c r="E512" s="2" t="s">
        <v>77</v>
      </c>
    </row>
    <row r="513">
      <c r="A513" s="2" t="s">
        <v>736</v>
      </c>
      <c r="B513" s="2" t="s">
        <v>648</v>
      </c>
      <c r="C513" s="2" t="s">
        <v>761</v>
      </c>
      <c r="D513" s="3" t="str">
        <f>HYPERLINK("https://12go.asia/en/travel/funing/jiangzhou", "12Go Link")</f>
        <v>12Go Link</v>
      </c>
      <c r="E513" s="2" t="s">
        <v>77</v>
      </c>
    </row>
    <row r="514">
      <c r="A514" s="2" t="s">
        <v>736</v>
      </c>
      <c r="B514" s="2" t="s">
        <v>650</v>
      </c>
      <c r="C514" s="2" t="s">
        <v>762</v>
      </c>
      <c r="D514" s="3" t="str">
        <f>HYPERLINK("https://12go.asia/en/travel/funing/jiaocheng", "12Go Link")</f>
        <v>12Go Link</v>
      </c>
      <c r="E514" s="2" t="s">
        <v>77</v>
      </c>
    </row>
    <row r="515">
      <c r="A515" s="2" t="s">
        <v>736</v>
      </c>
      <c r="B515" s="2" t="s">
        <v>763</v>
      </c>
      <c r="C515" s="2" t="s">
        <v>764</v>
      </c>
      <c r="D515" s="3" t="str">
        <f>HYPERLINK("https://12go.asia/en/travel/funing/jinhua", "12Go Link")</f>
        <v>12Go Link</v>
      </c>
      <c r="E515" s="2" t="s">
        <v>77</v>
      </c>
    </row>
    <row r="516">
      <c r="A516" s="2" t="s">
        <v>736</v>
      </c>
      <c r="B516" s="2" t="s">
        <v>765</v>
      </c>
      <c r="C516" s="2" t="s">
        <v>766</v>
      </c>
      <c r="D516" s="3" t="str">
        <f>HYPERLINK("https://12go.asia/en/travel/funing/jinjiang", "12Go Link")</f>
        <v>12Go Link</v>
      </c>
      <c r="E516" s="2" t="s">
        <v>77</v>
      </c>
    </row>
    <row r="517">
      <c r="A517" s="2" t="s">
        <v>736</v>
      </c>
      <c r="B517" s="2" t="s">
        <v>767</v>
      </c>
      <c r="C517" s="2" t="s">
        <v>768</v>
      </c>
      <c r="D517" s="3" t="str">
        <f>HYPERLINK("https://12go.asia/en/travel/funing/jiujiang", "12Go Link")</f>
        <v>12Go Link</v>
      </c>
      <c r="E517" s="2" t="s">
        <v>77</v>
      </c>
    </row>
    <row r="518">
      <c r="A518" s="2" t="s">
        <v>736</v>
      </c>
      <c r="B518" s="2" t="s">
        <v>558</v>
      </c>
      <c r="C518" s="2" t="s">
        <v>769</v>
      </c>
      <c r="D518" s="3" t="str">
        <f>HYPERLINK("https://12go.asia/en/travel/funing/nanchang", "12Go Link")</f>
        <v>12Go Link</v>
      </c>
      <c r="E518" s="2" t="s">
        <v>77</v>
      </c>
    </row>
    <row r="519">
      <c r="A519" s="2" t="s">
        <v>736</v>
      </c>
      <c r="B519" s="2" t="s">
        <v>454</v>
      </c>
      <c r="C519" s="2" t="s">
        <v>770</v>
      </c>
      <c r="D519" s="3" t="str">
        <f>HYPERLINK("https://12go.asia/en/travel/fuliang-east/nanjing-south", "12Go Link")</f>
        <v>12Go Link</v>
      </c>
      <c r="E519" s="2" t="s">
        <v>77</v>
      </c>
    </row>
    <row r="520">
      <c r="A520" s="2" t="s">
        <v>736</v>
      </c>
      <c r="B520" s="2" t="s">
        <v>454</v>
      </c>
      <c r="C520" s="2" t="s">
        <v>771</v>
      </c>
      <c r="D520" s="3" t="str">
        <f>HYPERLINK("https://12go.asia/en/travel/funing/nanjing", "12Go Link")</f>
        <v>12Go Link</v>
      </c>
      <c r="E520" s="2" t="s">
        <v>77</v>
      </c>
    </row>
    <row r="521">
      <c r="A521" s="2" t="s">
        <v>736</v>
      </c>
      <c r="B521" s="2" t="s">
        <v>772</v>
      </c>
      <c r="C521" s="2" t="s">
        <v>773</v>
      </c>
      <c r="D521" s="3" t="str">
        <f>HYPERLINK("https://12go.asia/en/travel/funing/ningbo", "12Go Link")</f>
        <v>12Go Link</v>
      </c>
      <c r="E521" s="2" t="s">
        <v>77</v>
      </c>
    </row>
    <row r="522">
      <c r="A522" s="2" t="s">
        <v>736</v>
      </c>
      <c r="B522" s="2" t="s">
        <v>381</v>
      </c>
      <c r="C522" s="2" t="s">
        <v>774</v>
      </c>
      <c r="D522" s="3" t="str">
        <f>HYPERLINK("https://12go.asia/en/travel/funing/pujiangzhen", "12Go Link")</f>
        <v>12Go Link</v>
      </c>
      <c r="E522" s="2" t="s">
        <v>77</v>
      </c>
    </row>
    <row r="523">
      <c r="A523" s="2" t="s">
        <v>736</v>
      </c>
      <c r="B523" s="2" t="s">
        <v>716</v>
      </c>
      <c r="C523" s="2" t="s">
        <v>775</v>
      </c>
      <c r="D523" s="3" t="str">
        <f>HYPERLINK("https://12go.asia/en/travel/funing/quanzhou", "12Go Link")</f>
        <v>12Go Link</v>
      </c>
      <c r="E523" s="2" t="s">
        <v>77</v>
      </c>
    </row>
    <row r="524">
      <c r="A524" s="2" t="s">
        <v>736</v>
      </c>
      <c r="B524" s="2" t="s">
        <v>457</v>
      </c>
      <c r="C524" s="2" t="s">
        <v>776</v>
      </c>
      <c r="D524" s="3" t="str">
        <f>HYPERLINK("https://12go.asia/en/travel/funing/shaanxi", "12Go Link")</f>
        <v>12Go Link</v>
      </c>
      <c r="E524" s="2" t="s">
        <v>77</v>
      </c>
    </row>
    <row r="525">
      <c r="A525" s="2" t="s">
        <v>736</v>
      </c>
      <c r="B525" s="2" t="s">
        <v>459</v>
      </c>
      <c r="C525" s="2" t="s">
        <v>777</v>
      </c>
      <c r="D525" s="3" t="str">
        <f>HYPERLINK("https://12go.asia/en/travel/funing/shanghai", "12Go Link")</f>
        <v>12Go Link</v>
      </c>
      <c r="E525" s="2" t="s">
        <v>77</v>
      </c>
    </row>
    <row r="526">
      <c r="A526" s="2" t="s">
        <v>736</v>
      </c>
      <c r="B526" s="2" t="s">
        <v>461</v>
      </c>
      <c r="C526" s="2" t="s">
        <v>778</v>
      </c>
      <c r="D526" s="3" t="str">
        <f>HYPERLINK("https://12go.asia/en/travel/fuliang-east/shanghai-hongqiao-airport", "12Go Link")</f>
        <v>12Go Link</v>
      </c>
      <c r="E526" s="2" t="s">
        <v>77</v>
      </c>
    </row>
    <row r="527">
      <c r="A527" s="2" t="s">
        <v>736</v>
      </c>
      <c r="B527" s="2" t="s">
        <v>461</v>
      </c>
      <c r="C527" s="2" t="s">
        <v>779</v>
      </c>
      <c r="D527" s="3" t="str">
        <f>HYPERLINK("https://12go.asia/en/travel/funing/shanghai-hongqiao-airport", "12Go Link")</f>
        <v>12Go Link</v>
      </c>
      <c r="E527" s="2" t="s">
        <v>77</v>
      </c>
    </row>
    <row r="528">
      <c r="A528" s="2" t="s">
        <v>736</v>
      </c>
      <c r="B528" s="2" t="s">
        <v>780</v>
      </c>
      <c r="C528" s="2" t="s">
        <v>781</v>
      </c>
      <c r="D528" s="3" t="str">
        <f>HYPERLINK("https://12go.asia/en/travel/funing/shangrao", "12Go Link")</f>
        <v>12Go Link</v>
      </c>
      <c r="E528" s="2" t="s">
        <v>77</v>
      </c>
    </row>
    <row r="529">
      <c r="A529" s="2" t="s">
        <v>736</v>
      </c>
      <c r="B529" s="2" t="s">
        <v>782</v>
      </c>
      <c r="C529" s="2" t="s">
        <v>783</v>
      </c>
      <c r="D529" s="3" t="str">
        <f>HYPERLINK("https://12go.asia/en/travel/funing/shenzhen", "12Go Link")</f>
        <v>12Go Link</v>
      </c>
      <c r="E529" s="2" t="s">
        <v>77</v>
      </c>
    </row>
    <row r="530">
      <c r="A530" s="2" t="s">
        <v>736</v>
      </c>
      <c r="B530" s="2" t="s">
        <v>420</v>
      </c>
      <c r="C530" s="2" t="s">
        <v>784</v>
      </c>
      <c r="D530" s="3" t="str">
        <f>HYPERLINK("https://12go.asia/en/travel/fuliang-east/shanghai-songjiang", "12Go Link")</f>
        <v>12Go Link</v>
      </c>
      <c r="E530" s="2" t="s">
        <v>77</v>
      </c>
    </row>
    <row r="531">
      <c r="A531" s="2" t="s">
        <v>736</v>
      </c>
      <c r="B531" s="2" t="s">
        <v>420</v>
      </c>
      <c r="C531" s="2" t="s">
        <v>785</v>
      </c>
      <c r="D531" s="3" t="str">
        <f>HYPERLINK("https://12go.asia/en/travel/funing/songjiang-shanghai", "12Go Link")</f>
        <v>12Go Link</v>
      </c>
      <c r="E531" s="2" t="s">
        <v>77</v>
      </c>
    </row>
    <row r="532">
      <c r="A532" s="2" t="s">
        <v>736</v>
      </c>
      <c r="B532" s="2" t="s">
        <v>786</v>
      </c>
      <c r="C532" s="2" t="s">
        <v>787</v>
      </c>
      <c r="D532" s="3" t="str">
        <f>HYPERLINK("https://12go.asia/en/travel/funing/wenzhou", "12Go Link")</f>
        <v>12Go Link</v>
      </c>
      <c r="E532" s="2" t="s">
        <v>77</v>
      </c>
    </row>
    <row r="533">
      <c r="A533" s="2" t="s">
        <v>736</v>
      </c>
      <c r="B533" s="2" t="s">
        <v>788</v>
      </c>
      <c r="C533" s="2" t="s">
        <v>789</v>
      </c>
      <c r="D533" s="3" t="str">
        <f>HYPERLINK("https://12go.asia/en/travel/funing/wuhan", "12Go Link")</f>
        <v>12Go Link</v>
      </c>
      <c r="E533" s="2" t="s">
        <v>77</v>
      </c>
    </row>
    <row r="534">
      <c r="A534" s="2" t="s">
        <v>736</v>
      </c>
      <c r="B534" s="2" t="s">
        <v>790</v>
      </c>
      <c r="C534" s="2" t="s">
        <v>791</v>
      </c>
      <c r="D534" s="3" t="str">
        <f>HYPERLINK("https://12go.asia/en/travel/funing/xiamen", "12Go Link")</f>
        <v>12Go Link</v>
      </c>
      <c r="E534" s="2" t="s">
        <v>77</v>
      </c>
    </row>
    <row r="535">
      <c r="A535" s="2" t="s">
        <v>736</v>
      </c>
      <c r="B535" s="2" t="s">
        <v>469</v>
      </c>
      <c r="C535" s="2" t="s">
        <v>792</v>
      </c>
      <c r="D535" s="3" t="str">
        <f>HYPERLINK("https://12go.asia/en/travel/funing/xian", "12Go Link")</f>
        <v>12Go Link</v>
      </c>
      <c r="E535" s="2" t="s">
        <v>77</v>
      </c>
    </row>
    <row r="536">
      <c r="A536" s="2" t="s">
        <v>736</v>
      </c>
      <c r="B536" s="2" t="s">
        <v>471</v>
      </c>
      <c r="C536" s="2" t="s">
        <v>793</v>
      </c>
      <c r="D536" s="3" t="str">
        <f>HYPERLINK("https://12go.asia/en/travel/funing/xihu", "12Go Link")</f>
        <v>12Go Link</v>
      </c>
      <c r="E536" s="2" t="s">
        <v>77</v>
      </c>
    </row>
    <row r="537">
      <c r="A537" s="2" t="s">
        <v>736</v>
      </c>
      <c r="B537" s="2" t="s">
        <v>794</v>
      </c>
      <c r="C537" s="2" t="s">
        <v>795</v>
      </c>
      <c r="D537" s="3" t="str">
        <f>HYPERLINK("https://12go.asia/en/travel/funing/yiwu", "12Go Link")</f>
        <v>12Go Link</v>
      </c>
      <c r="E537" s="2" t="s">
        <v>77</v>
      </c>
    </row>
    <row r="538">
      <c r="A538" s="2" t="s">
        <v>736</v>
      </c>
      <c r="B538" s="2" t="s">
        <v>796</v>
      </c>
      <c r="C538" s="2" t="s">
        <v>797</v>
      </c>
      <c r="D538" s="3" t="str">
        <f>HYPERLINK("https://12go.asia/en/travel/funing/zengcheng", "12Go Link")</f>
        <v>12Go Link</v>
      </c>
      <c r="E538" s="2" t="s">
        <v>77</v>
      </c>
    </row>
    <row r="539">
      <c r="A539" s="2" t="s">
        <v>736</v>
      </c>
      <c r="B539" s="2" t="s">
        <v>474</v>
      </c>
      <c r="C539" s="2" t="s">
        <v>798</v>
      </c>
      <c r="D539" s="3" t="str">
        <f>HYPERLINK("https://12go.asia/en/travel/funing/zhejiang", "12Go Link")</f>
        <v>12Go Link</v>
      </c>
      <c r="E539" s="2" t="s">
        <v>77</v>
      </c>
    </row>
    <row r="540">
      <c r="A540" s="2" t="s">
        <v>736</v>
      </c>
      <c r="B540" s="2" t="s">
        <v>799</v>
      </c>
      <c r="C540" s="2" t="s">
        <v>800</v>
      </c>
      <c r="D540" s="3" t="str">
        <f>HYPERLINK("https://12go.asia/en/travel/funing/zhengzhou", "12Go Link")</f>
        <v>12Go Link</v>
      </c>
      <c r="E540" s="2" t="s">
        <v>77</v>
      </c>
    </row>
    <row r="541">
      <c r="A541" s="2" t="s">
        <v>801</v>
      </c>
      <c r="B541" s="2" t="s">
        <v>558</v>
      </c>
      <c r="C541" s="2" t="s">
        <v>802</v>
      </c>
      <c r="D541" s="3" t="str">
        <f>HYPERLINK("https://12go.asia/en/travel/fuqing-west/nanchang-west", "12Go Link")</f>
        <v>12Go Link</v>
      </c>
      <c r="E541" s="2" t="s">
        <v>77</v>
      </c>
    </row>
    <row r="542">
      <c r="A542" s="2" t="s">
        <v>801</v>
      </c>
      <c r="B542" s="2" t="s">
        <v>558</v>
      </c>
      <c r="C542" s="2" t="s">
        <v>803</v>
      </c>
      <c r="D542" s="3" t="str">
        <f>HYPERLINK("https://12go.asia/en/travel/fuqing/nanchang", "12Go Link")</f>
        <v>12Go Link</v>
      </c>
      <c r="E542" s="2" t="s">
        <v>77</v>
      </c>
    </row>
    <row r="543">
      <c r="A543" s="2" t="s">
        <v>804</v>
      </c>
      <c r="B543" s="2" t="s">
        <v>564</v>
      </c>
      <c r="C543" s="2" t="s">
        <v>805</v>
      </c>
      <c r="D543" s="3" t="str">
        <f>HYPERLINK("https://12go.asia/en/travel/fushun-north/changchun", "12Go Link")</f>
        <v>12Go Link</v>
      </c>
      <c r="E543" s="2" t="s">
        <v>77</v>
      </c>
    </row>
    <row r="544">
      <c r="A544" s="2" t="s">
        <v>804</v>
      </c>
      <c r="B544" s="2" t="s">
        <v>564</v>
      </c>
      <c r="C544" s="2" t="s">
        <v>806</v>
      </c>
      <c r="D544" s="3" t="str">
        <f>HYPERLINK("https://12go.asia/en/travel/fushun/changchun", "12Go Link")</f>
        <v>12Go Link</v>
      </c>
      <c r="E544" s="2" t="s">
        <v>77</v>
      </c>
    </row>
    <row r="545">
      <c r="A545" s="2" t="s">
        <v>804</v>
      </c>
      <c r="B545" s="2" t="s">
        <v>807</v>
      </c>
      <c r="C545" s="2" t="s">
        <v>808</v>
      </c>
      <c r="D545" s="3" t="str">
        <f>HYPERLINK("https://12go.asia/en/travel/fushun-north/daminghu", "12Go Link")</f>
        <v>12Go Link</v>
      </c>
      <c r="E545" s="2" t="s">
        <v>77</v>
      </c>
    </row>
    <row r="546">
      <c r="A546" s="2" t="s">
        <v>804</v>
      </c>
      <c r="B546" s="2" t="s">
        <v>807</v>
      </c>
      <c r="C546" s="2" t="s">
        <v>809</v>
      </c>
      <c r="D546" s="3" t="str">
        <f>HYPERLINK("https://12go.asia/en/travel/fushun-north/jinan", "12Go Link")</f>
        <v>12Go Link</v>
      </c>
      <c r="E546" s="2" t="s">
        <v>77</v>
      </c>
    </row>
    <row r="547">
      <c r="A547" s="2" t="s">
        <v>804</v>
      </c>
      <c r="B547" s="2" t="s">
        <v>807</v>
      </c>
      <c r="C547" s="2" t="s">
        <v>810</v>
      </c>
      <c r="D547" s="3" t="str">
        <f>HYPERLINK("https://12go.asia/en/travel/fushun/jinan", "12Go Link")</f>
        <v>12Go Link</v>
      </c>
      <c r="E547" s="2" t="s">
        <v>77</v>
      </c>
    </row>
    <row r="548">
      <c r="A548" s="2" t="s">
        <v>685</v>
      </c>
      <c r="B548" s="2" t="s">
        <v>491</v>
      </c>
      <c r="C548" s="2" t="s">
        <v>811</v>
      </c>
      <c r="D548" s="3" t="str">
        <f>HYPERLINK("https://12go.asia/en/travel/funing-south/beijing-south", "12Go Link")</f>
        <v>12Go Link</v>
      </c>
      <c r="E548" s="2" t="s">
        <v>77</v>
      </c>
    </row>
    <row r="549">
      <c r="A549" s="2" t="s">
        <v>685</v>
      </c>
      <c r="B549" s="2" t="s">
        <v>491</v>
      </c>
      <c r="C549" s="2" t="s">
        <v>812</v>
      </c>
      <c r="D549" s="3" t="str">
        <f>HYPERLINK("https://12go.asia/en/travel/fusui/beijing", "12Go Link")</f>
        <v>12Go Link</v>
      </c>
      <c r="E549" s="2" t="s">
        <v>77</v>
      </c>
    </row>
    <row r="550">
      <c r="A550" s="2" t="s">
        <v>685</v>
      </c>
      <c r="B550" s="2" t="s">
        <v>461</v>
      </c>
      <c r="C550" s="2" t="s">
        <v>813</v>
      </c>
      <c r="D550" s="3" t="str">
        <f>HYPERLINK("https://12go.asia/en/travel/fusui/shanghai-hongqiao-airport", "12Go Link")</f>
        <v>12Go Link</v>
      </c>
      <c r="E550" s="2" t="s">
        <v>77</v>
      </c>
    </row>
    <row r="551">
      <c r="A551" s="2" t="s">
        <v>685</v>
      </c>
      <c r="B551" s="2" t="s">
        <v>814</v>
      </c>
      <c r="C551" s="2" t="s">
        <v>815</v>
      </c>
      <c r="D551" s="3" t="str">
        <f>HYPERLINK("https://12go.asia/en/travel/funing-south/suzhou", "12Go Link")</f>
        <v>12Go Link</v>
      </c>
      <c r="E551" s="2" t="s">
        <v>77</v>
      </c>
    </row>
    <row r="552">
      <c r="A552" s="2" t="s">
        <v>685</v>
      </c>
      <c r="B552" s="2" t="s">
        <v>814</v>
      </c>
      <c r="C552" s="2" t="s">
        <v>816</v>
      </c>
      <c r="D552" s="3" t="str">
        <f>HYPERLINK("https://12go.asia/en/travel/fusui/suzhou", "12Go Link")</f>
        <v>12Go Link</v>
      </c>
      <c r="E552" s="2" t="s">
        <v>77</v>
      </c>
    </row>
    <row r="553">
      <c r="A553" s="2" t="s">
        <v>685</v>
      </c>
      <c r="B553" s="2" t="s">
        <v>575</v>
      </c>
      <c r="C553" s="2" t="s">
        <v>817</v>
      </c>
      <c r="D553" s="3" t="str">
        <f>HYPERLINK("https://12go.asia/en/travel/funing-south/zhangjiagang", "12Go Link")</f>
        <v>12Go Link</v>
      </c>
      <c r="E553" s="2" t="s">
        <v>77</v>
      </c>
    </row>
    <row r="554">
      <c r="A554" s="2" t="s">
        <v>685</v>
      </c>
      <c r="B554" s="2" t="s">
        <v>575</v>
      </c>
      <c r="C554" s="2" t="s">
        <v>818</v>
      </c>
      <c r="D554" s="3" t="str">
        <f>HYPERLINK("https://12go.asia/en/travel/fusui/zhangjiagang", "12Go Link")</f>
        <v>12Go Link</v>
      </c>
      <c r="E554" s="2" t="s">
        <v>77</v>
      </c>
    </row>
    <row r="555">
      <c r="A555" s="2" t="s">
        <v>819</v>
      </c>
      <c r="B555" s="2" t="s">
        <v>491</v>
      </c>
      <c r="C555" s="2" t="s">
        <v>820</v>
      </c>
      <c r="D555" s="3" t="str">
        <f>HYPERLINK("https://12go.asia/en/travel/fuxin/beijing", "12Go Link")</f>
        <v>12Go Link</v>
      </c>
      <c r="E555" s="2" t="s">
        <v>77</v>
      </c>
    </row>
    <row r="556">
      <c r="A556" s="2" t="s">
        <v>819</v>
      </c>
      <c r="B556" s="2" t="s">
        <v>491</v>
      </c>
      <c r="C556" s="2" t="s">
        <v>821</v>
      </c>
      <c r="D556" s="3" t="str">
        <f>HYPERLINK("https://12go.asia/en/travel/fuxin/beijing-west", "12Go Link")</f>
        <v>12Go Link</v>
      </c>
      <c r="E556" s="2" t="s">
        <v>77</v>
      </c>
    </row>
    <row r="557">
      <c r="A557" s="2" t="s">
        <v>819</v>
      </c>
      <c r="B557" s="2" t="s">
        <v>822</v>
      </c>
      <c r="C557" s="2" t="s">
        <v>823</v>
      </c>
      <c r="D557" s="3" t="str">
        <f>HYPERLINK("https://12go.asia/en/travel/fuxin/benxi", "12Go Link")</f>
        <v>12Go Link</v>
      </c>
      <c r="E557" s="2" t="s">
        <v>77</v>
      </c>
    </row>
    <row r="558">
      <c r="A558" s="2" t="s">
        <v>819</v>
      </c>
      <c r="B558" s="2" t="s">
        <v>384</v>
      </c>
      <c r="C558" s="2" t="s">
        <v>824</v>
      </c>
      <c r="D558" s="3" t="str">
        <f>HYPERLINK("https://12go.asia/en/travel/fuxin/beipiao", "12Go Link")</f>
        <v>12Go Link</v>
      </c>
      <c r="E558" s="2" t="s">
        <v>77</v>
      </c>
    </row>
    <row r="559">
      <c r="A559" s="2" t="s">
        <v>819</v>
      </c>
      <c r="B559" s="2" t="s">
        <v>384</v>
      </c>
      <c r="C559" s="2" t="s">
        <v>825</v>
      </c>
      <c r="D559" s="3" t="str">
        <f>HYPERLINK("https://12go.asia/en/travel/fuxin/chaoyang-liaoning", "12Go Link")</f>
        <v>12Go Link</v>
      </c>
      <c r="E559" s="2" t="s">
        <v>77</v>
      </c>
    </row>
    <row r="560">
      <c r="A560" s="2" t="s">
        <v>819</v>
      </c>
      <c r="B560" s="2" t="s">
        <v>384</v>
      </c>
      <c r="C560" s="2" t="s">
        <v>826</v>
      </c>
      <c r="D560" s="3" t="str">
        <f>HYPERLINK("https://12go.asia/en/travel/fuxin/liaoning-chaoyang", "12Go Link")</f>
        <v>12Go Link</v>
      </c>
      <c r="E560" s="2" t="s">
        <v>77</v>
      </c>
    </row>
    <row r="561">
      <c r="A561" s="2" t="s">
        <v>819</v>
      </c>
      <c r="B561" s="2" t="s">
        <v>827</v>
      </c>
      <c r="C561" s="2" t="s">
        <v>828</v>
      </c>
      <c r="D561" s="3" t="str">
        <f>HYPERLINK("https://12go.asia/en/travel/fuxin/chifeng", "12Go Link")</f>
        <v>12Go Link</v>
      </c>
      <c r="E561" s="2" t="s">
        <v>77</v>
      </c>
    </row>
    <row r="562">
      <c r="A562" s="2" t="s">
        <v>819</v>
      </c>
      <c r="B562" s="2" t="s">
        <v>388</v>
      </c>
      <c r="C562" s="2" t="s">
        <v>829</v>
      </c>
      <c r="D562" s="3" t="str">
        <f>HYPERLINK("https://12go.asia/en/travel/fuxin/beijing-chaoyang", "12Go Link")</f>
        <v>12Go Link</v>
      </c>
      <c r="E562" s="2" t="s">
        <v>77</v>
      </c>
    </row>
    <row r="563">
      <c r="A563" s="2" t="s">
        <v>819</v>
      </c>
      <c r="B563" s="2" t="s">
        <v>388</v>
      </c>
      <c r="C563" s="2" t="s">
        <v>830</v>
      </c>
      <c r="D563" s="3" t="str">
        <f>HYPERLINK("https://12go.asia/en/travel/fuxin/tacheng", "12Go Link")</f>
        <v>12Go Link</v>
      </c>
      <c r="E563" s="2" t="s">
        <v>77</v>
      </c>
    </row>
    <row r="564">
      <c r="A564" s="2" t="s">
        <v>819</v>
      </c>
      <c r="B564" s="2" t="s">
        <v>552</v>
      </c>
      <c r="C564" s="2" t="s">
        <v>831</v>
      </c>
      <c r="D564" s="3" t="str">
        <f>HYPERLINK("https://12go.asia/en/travel/fuxin-south/tianjin", "12Go Link")</f>
        <v>12Go Link</v>
      </c>
      <c r="E564" s="2" t="s">
        <v>77</v>
      </c>
    </row>
    <row r="565">
      <c r="A565" s="2" t="s">
        <v>819</v>
      </c>
      <c r="B565" s="2" t="s">
        <v>552</v>
      </c>
      <c r="C565" s="2" t="s">
        <v>832</v>
      </c>
      <c r="D565" s="3" t="str">
        <f>HYPERLINK("https://12go.asia/en/travel/fuxin/tianjin", "12Go Link")</f>
        <v>12Go Link</v>
      </c>
      <c r="E565" s="2" t="s">
        <v>77</v>
      </c>
    </row>
    <row r="566">
      <c r="A566" s="2" t="s">
        <v>819</v>
      </c>
      <c r="B566" s="2" t="s">
        <v>378</v>
      </c>
      <c r="C566" s="2" t="s">
        <v>833</v>
      </c>
      <c r="D566" s="3" t="str">
        <f>HYPERLINK("https://12go.asia/en/travel/fuxin/xunxian", "12Go Link")</f>
        <v>12Go Link</v>
      </c>
      <c r="E566" s="2" t="s">
        <v>77</v>
      </c>
    </row>
    <row r="567">
      <c r="A567" s="2" t="s">
        <v>834</v>
      </c>
      <c r="B567" s="2" t="s">
        <v>564</v>
      </c>
      <c r="C567" s="2" t="s">
        <v>835</v>
      </c>
      <c r="D567" s="3" t="str">
        <f>HYPERLINK("https://12go.asia/en/travel/fuyang/changchun", "12Go Link")</f>
        <v>12Go Link</v>
      </c>
      <c r="E567" s="2" t="s">
        <v>77</v>
      </c>
    </row>
    <row r="568">
      <c r="A568" s="2" t="s">
        <v>834</v>
      </c>
      <c r="B568" s="2" t="s">
        <v>836</v>
      </c>
      <c r="C568" s="2" t="s">
        <v>837</v>
      </c>
      <c r="D568" s="3" t="str">
        <f>HYPERLINK("https://12go.asia/en/travel/fuyang/guiyang", "12Go Link")</f>
        <v>12Go Link</v>
      </c>
      <c r="E568" s="2" t="s">
        <v>77</v>
      </c>
    </row>
    <row r="569">
      <c r="A569" s="2" t="s">
        <v>834</v>
      </c>
      <c r="B569" s="2" t="s">
        <v>444</v>
      </c>
      <c r="C569" s="2" t="s">
        <v>838</v>
      </c>
      <c r="D569" s="3" t="str">
        <f>HYPERLINK("https://12go.asia/en/travel/fuyang/handan", "12Go Link")</f>
        <v>12Go Link</v>
      </c>
      <c r="E569" s="2" t="s">
        <v>77</v>
      </c>
    </row>
    <row r="570">
      <c r="A570" s="2" t="s">
        <v>834</v>
      </c>
      <c r="B570" s="2" t="s">
        <v>538</v>
      </c>
      <c r="C570" s="2" t="s">
        <v>839</v>
      </c>
      <c r="D570" s="3" t="str">
        <f>HYPERLINK("https://12go.asia/en/travel/fuyang/harbin", "12Go Link")</f>
        <v>12Go Link</v>
      </c>
      <c r="E570" s="2" t="s">
        <v>77</v>
      </c>
    </row>
    <row r="571">
      <c r="A571" s="2" t="s">
        <v>834</v>
      </c>
      <c r="B571" s="2" t="s">
        <v>538</v>
      </c>
      <c r="C571" s="2" t="s">
        <v>840</v>
      </c>
      <c r="D571" s="3" t="str">
        <f>HYPERLINK("https://12go.asia/en/travel/fuyang/harbin-west", "12Go Link")</f>
        <v>12Go Link</v>
      </c>
      <c r="E571" s="2" t="s">
        <v>77</v>
      </c>
    </row>
    <row r="572">
      <c r="A572" s="2" t="s">
        <v>834</v>
      </c>
      <c r="B572" s="2" t="s">
        <v>841</v>
      </c>
      <c r="C572" s="2" t="s">
        <v>842</v>
      </c>
      <c r="D572" s="3" t="str">
        <f>HYPERLINK("https://12go.asia/en/travel/fuyang/jining", "12Go Link")</f>
        <v>12Go Link</v>
      </c>
      <c r="E572" s="2" t="s">
        <v>77</v>
      </c>
    </row>
    <row r="573">
      <c r="A573" s="2" t="s">
        <v>834</v>
      </c>
      <c r="B573" s="2" t="s">
        <v>843</v>
      </c>
      <c r="C573" s="2" t="s">
        <v>844</v>
      </c>
      <c r="D573" s="3" t="str">
        <f>HYPERLINK("https://12go.asia/en/travel/fuyang/linyi", "12Go Link")</f>
        <v>12Go Link</v>
      </c>
      <c r="E573" s="2" t="s">
        <v>77</v>
      </c>
    </row>
    <row r="574">
      <c r="A574" s="2" t="s">
        <v>834</v>
      </c>
      <c r="B574" s="2" t="s">
        <v>845</v>
      </c>
      <c r="C574" s="2" t="s">
        <v>846</v>
      </c>
      <c r="D574" s="3" t="str">
        <f>HYPERLINK("https://12go.asia/en/travel/fuyang/nanning", "12Go Link")</f>
        <v>12Go Link</v>
      </c>
      <c r="E574" s="2" t="s">
        <v>77</v>
      </c>
    </row>
    <row r="575">
      <c r="A575" s="2" t="s">
        <v>834</v>
      </c>
      <c r="B575" s="2" t="s">
        <v>565</v>
      </c>
      <c r="C575" s="2" t="s">
        <v>847</v>
      </c>
      <c r="D575" s="3" t="str">
        <f>HYPERLINK("https://12go.asia/en/travel/fuyang/shangqiu", "12Go Link")</f>
        <v>12Go Link</v>
      </c>
      <c r="E575" s="2" t="s">
        <v>77</v>
      </c>
    </row>
    <row r="576">
      <c r="A576" s="2" t="s">
        <v>834</v>
      </c>
      <c r="B576" s="2" t="s">
        <v>565</v>
      </c>
      <c r="C576" s="2" t="s">
        <v>848</v>
      </c>
      <c r="D576" s="3" t="str">
        <f>HYPERLINK("https://12go.asia/en/travel/fuyang/shangqiu-south", "12Go Link")</f>
        <v>12Go Link</v>
      </c>
      <c r="E576" s="2" t="s">
        <v>77</v>
      </c>
    </row>
    <row r="577">
      <c r="A577" s="2" t="s">
        <v>834</v>
      </c>
      <c r="B577" s="2" t="s">
        <v>782</v>
      </c>
      <c r="C577" s="2" t="s">
        <v>849</v>
      </c>
      <c r="D577" s="3" t="str">
        <f>HYPERLINK("https://12go.asia/en/travel/fuyang/shenzhen", "12Go Link")</f>
        <v>12Go Link</v>
      </c>
      <c r="E577" s="2" t="s">
        <v>77</v>
      </c>
    </row>
    <row r="578">
      <c r="A578" s="2" t="s">
        <v>834</v>
      </c>
      <c r="B578" s="2" t="s">
        <v>782</v>
      </c>
      <c r="C578" s="2" t="s">
        <v>850</v>
      </c>
      <c r="D578" s="3" t="str">
        <f>HYPERLINK("https://12go.asia/en/travel/fuyang/shenzhen-east", "12Go Link")</f>
        <v>12Go Link</v>
      </c>
      <c r="E578" s="2" t="s">
        <v>77</v>
      </c>
    </row>
    <row r="579">
      <c r="A579" s="2" t="s">
        <v>834</v>
      </c>
      <c r="B579" s="2" t="s">
        <v>418</v>
      </c>
      <c r="C579" s="2" t="s">
        <v>851</v>
      </c>
      <c r="D579" s="3" t="str">
        <f>HYPERLINK("https://12go.asia/en/travel/fuyang/shijiazhuang", "12Go Link")</f>
        <v>12Go Link</v>
      </c>
      <c r="E579" s="2" t="s">
        <v>77</v>
      </c>
    </row>
    <row r="580">
      <c r="A580" s="2" t="s">
        <v>834</v>
      </c>
      <c r="B580" s="2" t="s">
        <v>852</v>
      </c>
      <c r="C580" s="2" t="s">
        <v>853</v>
      </c>
      <c r="D580" s="3" t="str">
        <f>HYPERLINK("https://12go.asia/en/travel/fuyang/yancheng", "12Go Link")</f>
        <v>12Go Link</v>
      </c>
      <c r="E580" s="2" t="s">
        <v>77</v>
      </c>
    </row>
    <row r="581">
      <c r="A581" s="2" t="s">
        <v>854</v>
      </c>
      <c r="B581" s="2" t="s">
        <v>380</v>
      </c>
      <c r="C581" s="2" t="s">
        <v>855</v>
      </c>
      <c r="D581" s="3" t="str">
        <f>HYPERLINK("https://12go.asia/en/travel/fuyang-west/xuancheng", "12Go Link")</f>
        <v>12Go Link</v>
      </c>
      <c r="E581" s="2" t="s">
        <v>77</v>
      </c>
    </row>
    <row r="582">
      <c r="A582" s="2" t="s">
        <v>854</v>
      </c>
      <c r="B582" s="2" t="s">
        <v>439</v>
      </c>
      <c r="C582" s="2" t="s">
        <v>856</v>
      </c>
      <c r="D582" s="3" t="str">
        <f>HYPERLINK("https://12go.asia/en/travel/fuyang-anhui/binhai", "12Go Link")</f>
        <v>12Go Link</v>
      </c>
      <c r="E582" s="2" t="s">
        <v>77</v>
      </c>
    </row>
    <row r="583">
      <c r="A583" s="2" t="s">
        <v>854</v>
      </c>
      <c r="B583" s="2" t="s">
        <v>564</v>
      </c>
      <c r="C583" s="2" t="s">
        <v>857</v>
      </c>
      <c r="D583" s="3" t="str">
        <f>HYPERLINK("https://12go.asia/en/travel/fuyang-anhui/changchun", "12Go Link")</f>
        <v>12Go Link</v>
      </c>
      <c r="E583" s="2" t="s">
        <v>77</v>
      </c>
    </row>
    <row r="584">
      <c r="A584" s="2" t="s">
        <v>854</v>
      </c>
      <c r="B584" s="2" t="s">
        <v>720</v>
      </c>
      <c r="C584" s="2" t="s">
        <v>858</v>
      </c>
      <c r="D584" s="3" t="str">
        <f>HYPERLINK("https://12go.asia/en/travel/fuyang-anhui/fujian", "12Go Link")</f>
        <v>12Go Link</v>
      </c>
      <c r="E584" s="2" t="s">
        <v>77</v>
      </c>
    </row>
    <row r="585">
      <c r="A585" s="2" t="s">
        <v>854</v>
      </c>
      <c r="B585" s="2" t="s">
        <v>478</v>
      </c>
      <c r="C585" s="2" t="s">
        <v>859</v>
      </c>
      <c r="D585" s="3" t="str">
        <f>HYPERLINK("https://12go.asia/en/travel/fuyang-anhui/guangxi", "12Go Link")</f>
        <v>12Go Link</v>
      </c>
      <c r="E585" s="2" t="s">
        <v>77</v>
      </c>
    </row>
    <row r="586">
      <c r="A586" s="2" t="s">
        <v>854</v>
      </c>
      <c r="B586" s="2" t="s">
        <v>415</v>
      </c>
      <c r="C586" s="2" t="s">
        <v>860</v>
      </c>
      <c r="D586" s="3" t="str">
        <f>HYPERLINK("https://12go.asia/en/travel/fuyang-anhui/guzhang", "12Go Link")</f>
        <v>12Go Link</v>
      </c>
      <c r="E586" s="2" t="s">
        <v>77</v>
      </c>
    </row>
    <row r="587">
      <c r="A587" s="2" t="s">
        <v>854</v>
      </c>
      <c r="B587" s="2" t="s">
        <v>444</v>
      </c>
      <c r="C587" s="2" t="s">
        <v>861</v>
      </c>
      <c r="D587" s="3" t="str">
        <f>HYPERLINK("https://12go.asia/en/travel/fuyang-anhui/handan", "12Go Link")</f>
        <v>12Go Link</v>
      </c>
      <c r="E587" s="2" t="s">
        <v>77</v>
      </c>
    </row>
    <row r="588">
      <c r="A588" s="2" t="s">
        <v>854</v>
      </c>
      <c r="B588" s="2" t="s">
        <v>444</v>
      </c>
      <c r="C588" s="2" t="s">
        <v>862</v>
      </c>
      <c r="D588" s="3" t="str">
        <f>HYPERLINK("https://12go.asia/en/travel/fuyang-west/handan-east", "12Go Link")</f>
        <v>12Go Link</v>
      </c>
      <c r="E588" s="2" t="s">
        <v>77</v>
      </c>
    </row>
    <row r="589">
      <c r="A589" s="2" t="s">
        <v>854</v>
      </c>
      <c r="B589" s="2" t="s">
        <v>746</v>
      </c>
      <c r="C589" s="2" t="s">
        <v>863</v>
      </c>
      <c r="D589" s="3" t="str">
        <f>HYPERLINK("https://12go.asia/en/travel/fuyang-west/hangzhou-west", "12Go Link")</f>
        <v>12Go Link</v>
      </c>
      <c r="E589" s="2" t="s">
        <v>77</v>
      </c>
    </row>
    <row r="590">
      <c r="A590" s="2" t="s">
        <v>854</v>
      </c>
      <c r="B590" s="2" t="s">
        <v>538</v>
      </c>
      <c r="C590" s="2" t="s">
        <v>864</v>
      </c>
      <c r="D590" s="3" t="str">
        <f>HYPERLINK("https://12go.asia/en/travel/fuyang-anhui/harbin", "12Go Link")</f>
        <v>12Go Link</v>
      </c>
      <c r="E590" s="2" t="s">
        <v>77</v>
      </c>
    </row>
    <row r="591">
      <c r="A591" s="2" t="s">
        <v>854</v>
      </c>
      <c r="B591" s="2" t="s">
        <v>645</v>
      </c>
      <c r="C591" s="2" t="s">
        <v>865</v>
      </c>
      <c r="D591" s="3" t="str">
        <f>HYPERLINK("https://12go.asia/en/travel/fuyang-anhui/hebei", "12Go Link")</f>
        <v>12Go Link</v>
      </c>
      <c r="E591" s="2" t="s">
        <v>77</v>
      </c>
    </row>
    <row r="592">
      <c r="A592" s="2" t="s">
        <v>854</v>
      </c>
      <c r="B592" s="2" t="s">
        <v>376</v>
      </c>
      <c r="C592" s="2" t="s">
        <v>866</v>
      </c>
      <c r="D592" s="3" t="str">
        <f>HYPERLINK("https://12go.asia/en/travel/fuyang-anhui/heilongjiang", "12Go Link")</f>
        <v>12Go Link</v>
      </c>
      <c r="E592" s="2" t="s">
        <v>77</v>
      </c>
    </row>
    <row r="593">
      <c r="A593" s="2" t="s">
        <v>854</v>
      </c>
      <c r="B593" s="2" t="s">
        <v>750</v>
      </c>
      <c r="C593" s="2" t="s">
        <v>867</v>
      </c>
      <c r="D593" s="3" t="str">
        <f>HYPERLINK("https://12go.asia/en/travel/fuyang-anhui/henan", "12Go Link")</f>
        <v>12Go Link</v>
      </c>
      <c r="E593" s="2" t="s">
        <v>77</v>
      </c>
    </row>
    <row r="594">
      <c r="A594" s="2" t="s">
        <v>854</v>
      </c>
      <c r="B594" s="2" t="s">
        <v>868</v>
      </c>
      <c r="C594" s="2" t="s">
        <v>869</v>
      </c>
      <c r="D594" s="3" t="str">
        <f>HYPERLINK("https://12go.asia/en/travel/fuyang-anhui/heshan", "12Go Link")</f>
        <v>12Go Link</v>
      </c>
      <c r="E594" s="2" t="s">
        <v>77</v>
      </c>
    </row>
    <row r="595">
      <c r="A595" s="2" t="s">
        <v>854</v>
      </c>
      <c r="B595" s="2" t="s">
        <v>870</v>
      </c>
      <c r="C595" s="2" t="s">
        <v>871</v>
      </c>
      <c r="D595" s="3" t="str">
        <f>HYPERLINK("https://12go.asia/en/travel/fuyang-anhui/huaxi", "12Go Link")</f>
        <v>12Go Link</v>
      </c>
      <c r="E595" s="2" t="s">
        <v>77</v>
      </c>
    </row>
    <row r="596">
      <c r="A596" s="2" t="s">
        <v>854</v>
      </c>
      <c r="B596" s="2" t="s">
        <v>872</v>
      </c>
      <c r="C596" s="2" t="s">
        <v>873</v>
      </c>
      <c r="D596" s="3" t="str">
        <f>HYPERLINK("https://12go.asia/en/travel/fuyang-anhui/hubei", "12Go Link")</f>
        <v>12Go Link</v>
      </c>
      <c r="E596" s="2" t="s">
        <v>77</v>
      </c>
    </row>
    <row r="597">
      <c r="A597" s="2" t="s">
        <v>854</v>
      </c>
      <c r="B597" s="2" t="s">
        <v>874</v>
      </c>
      <c r="C597" s="2" t="s">
        <v>875</v>
      </c>
      <c r="D597" s="3" t="str">
        <f>HYPERLINK("https://12go.asia/en/travel/fuyang-anhui/hunan", "12Go Link")</f>
        <v>12Go Link</v>
      </c>
      <c r="E597" s="2" t="s">
        <v>77</v>
      </c>
    </row>
    <row r="598">
      <c r="A598" s="2" t="s">
        <v>854</v>
      </c>
      <c r="B598" s="2" t="s">
        <v>450</v>
      </c>
      <c r="C598" s="2" t="s">
        <v>876</v>
      </c>
      <c r="D598" s="3" t="str">
        <f>HYPERLINK("https://12go.asia/en/travel/fuyang-anhui/jiangning", "12Go Link")</f>
        <v>12Go Link</v>
      </c>
      <c r="E598" s="2" t="s">
        <v>77</v>
      </c>
    </row>
    <row r="599">
      <c r="A599" s="2" t="s">
        <v>854</v>
      </c>
      <c r="B599" s="2" t="s">
        <v>759</v>
      </c>
      <c r="C599" s="2" t="s">
        <v>877</v>
      </c>
      <c r="D599" s="3" t="str">
        <f>HYPERLINK("https://12go.asia/en/travel/fuyang-anhui/jiangxi", "12Go Link")</f>
        <v>12Go Link</v>
      </c>
      <c r="E599" s="2" t="s">
        <v>77</v>
      </c>
    </row>
    <row r="600">
      <c r="A600" s="2" t="s">
        <v>854</v>
      </c>
      <c r="B600" s="2" t="s">
        <v>648</v>
      </c>
      <c r="C600" s="2" t="s">
        <v>878</v>
      </c>
      <c r="D600" s="3" t="str">
        <f>HYPERLINK("https://12go.asia/en/travel/fuyang-anhui/jiangzhou", "12Go Link")</f>
        <v>12Go Link</v>
      </c>
      <c r="E600" s="2" t="s">
        <v>77</v>
      </c>
    </row>
    <row r="601">
      <c r="A601" s="2" t="s">
        <v>854</v>
      </c>
      <c r="B601" s="2" t="s">
        <v>650</v>
      </c>
      <c r="C601" s="2" t="s">
        <v>879</v>
      </c>
      <c r="D601" s="3" t="str">
        <f>HYPERLINK("https://12go.asia/en/travel/fuyang-anhui/jiaocheng", "12Go Link")</f>
        <v>12Go Link</v>
      </c>
      <c r="E601" s="2" t="s">
        <v>77</v>
      </c>
    </row>
    <row r="602">
      <c r="A602" s="2" t="s">
        <v>854</v>
      </c>
      <c r="B602" s="2" t="s">
        <v>841</v>
      </c>
      <c r="C602" s="2" t="s">
        <v>880</v>
      </c>
      <c r="D602" s="3" t="str">
        <f>HYPERLINK("https://12go.asia/en/travel/fuyang-anhui/jining", "12Go Link")</f>
        <v>12Go Link</v>
      </c>
      <c r="E602" s="2" t="s">
        <v>77</v>
      </c>
    </row>
    <row r="603">
      <c r="A603" s="2" t="s">
        <v>854</v>
      </c>
      <c r="B603" s="2" t="s">
        <v>370</v>
      </c>
      <c r="C603" s="2" t="s">
        <v>881</v>
      </c>
      <c r="D603" s="3" t="str">
        <f>HYPERLINK("https://12go.asia/en/travel/fuyang-anhui/lanzhou", "12Go Link")</f>
        <v>12Go Link</v>
      </c>
      <c r="E603" s="2" t="s">
        <v>77</v>
      </c>
    </row>
    <row r="604">
      <c r="A604" s="2" t="s">
        <v>854</v>
      </c>
      <c r="B604" s="2" t="s">
        <v>370</v>
      </c>
      <c r="C604" s="2" t="s">
        <v>882</v>
      </c>
      <c r="D604" s="3" t="str">
        <f>HYPERLINK("https://12go.asia/en/travel/fuyang-west/lanzhou-west", "12Go Link")</f>
        <v>12Go Link</v>
      </c>
      <c r="E604" s="2" t="s">
        <v>77</v>
      </c>
    </row>
    <row r="605">
      <c r="A605" s="2" t="s">
        <v>854</v>
      </c>
      <c r="B605" s="2" t="s">
        <v>843</v>
      </c>
      <c r="C605" s="2" t="s">
        <v>883</v>
      </c>
      <c r="D605" s="3" t="str">
        <f>HYPERLINK("https://12go.asia/en/travel/fuyang-anhui/linyi", "12Go Link")</f>
        <v>12Go Link</v>
      </c>
      <c r="E605" s="2" t="s">
        <v>77</v>
      </c>
    </row>
    <row r="606">
      <c r="A606" s="2" t="s">
        <v>854</v>
      </c>
      <c r="B606" s="2" t="s">
        <v>482</v>
      </c>
      <c r="C606" s="2" t="s">
        <v>884</v>
      </c>
      <c r="D606" s="3" t="str">
        <f>HYPERLINK("https://12go.asia/en/travel/fuyang-anhui/mingxi", "12Go Link")</f>
        <v>12Go Link</v>
      </c>
      <c r="E606" s="2" t="s">
        <v>77</v>
      </c>
    </row>
    <row r="607">
      <c r="A607" s="2" t="s">
        <v>854</v>
      </c>
      <c r="B607" s="2" t="s">
        <v>381</v>
      </c>
      <c r="C607" s="2" t="s">
        <v>885</v>
      </c>
      <c r="D607" s="3" t="str">
        <f>HYPERLINK("https://12go.asia/en/travel/fuyang-anhui/pujiangzhen", "12Go Link")</f>
        <v>12Go Link</v>
      </c>
      <c r="E607" s="2" t="s">
        <v>77</v>
      </c>
    </row>
    <row r="608">
      <c r="A608" s="2" t="s">
        <v>854</v>
      </c>
      <c r="B608" s="2" t="s">
        <v>716</v>
      </c>
      <c r="C608" s="2" t="s">
        <v>886</v>
      </c>
      <c r="D608" s="3" t="str">
        <f>HYPERLINK("https://12go.asia/en/travel/fuyang-anhui/quanzhou", "12Go Link")</f>
        <v>12Go Link</v>
      </c>
      <c r="E608" s="2" t="s">
        <v>77</v>
      </c>
    </row>
    <row r="609">
      <c r="A609" s="2" t="s">
        <v>854</v>
      </c>
      <c r="B609" s="2" t="s">
        <v>716</v>
      </c>
      <c r="C609" s="2" t="s">
        <v>887</v>
      </c>
      <c r="D609" s="3" t="str">
        <f>HYPERLINK("https://12go.asia/en/travel/fuyang-west/qingyang", "12Go Link")</f>
        <v>12Go Link</v>
      </c>
      <c r="E609" s="2" t="s">
        <v>77</v>
      </c>
    </row>
    <row r="610">
      <c r="A610" s="2" t="s">
        <v>854</v>
      </c>
      <c r="B610" s="2" t="s">
        <v>457</v>
      </c>
      <c r="C610" s="2" t="s">
        <v>888</v>
      </c>
      <c r="D610" s="3" t="str">
        <f>HYPERLINK("https://12go.asia/en/travel/fuyang-anhui/shaanxi", "12Go Link")</f>
        <v>12Go Link</v>
      </c>
      <c r="E610" s="2" t="s">
        <v>77</v>
      </c>
    </row>
    <row r="611">
      <c r="A611" s="2" t="s">
        <v>854</v>
      </c>
      <c r="B611" s="2" t="s">
        <v>459</v>
      </c>
      <c r="C611" s="2" t="s">
        <v>889</v>
      </c>
      <c r="D611" s="3" t="str">
        <f>HYPERLINK("https://12go.asia/en/travel/fuyang-west/shanghai-south", "12Go Link")</f>
        <v>12Go Link</v>
      </c>
      <c r="E611" s="2" t="s">
        <v>77</v>
      </c>
    </row>
    <row r="612">
      <c r="A612" s="2" t="s">
        <v>854</v>
      </c>
      <c r="B612" s="2" t="s">
        <v>565</v>
      </c>
      <c r="C612" s="2" t="s">
        <v>890</v>
      </c>
      <c r="D612" s="3" t="str">
        <f>HYPERLINK("https://12go.asia/en/travel/fuyang-anhui/shangqiu", "12Go Link")</f>
        <v>12Go Link</v>
      </c>
      <c r="E612" s="2" t="s">
        <v>77</v>
      </c>
    </row>
    <row r="613">
      <c r="A613" s="2" t="s">
        <v>854</v>
      </c>
      <c r="B613" s="2" t="s">
        <v>565</v>
      </c>
      <c r="C613" s="2" t="s">
        <v>891</v>
      </c>
      <c r="D613" s="3" t="str">
        <f>HYPERLINK("https://12go.asia/en/travel/fuyang-west/shangqiu", "12Go Link")</f>
        <v>12Go Link</v>
      </c>
      <c r="E613" s="2" t="s">
        <v>77</v>
      </c>
    </row>
    <row r="614">
      <c r="A614" s="2" t="s">
        <v>854</v>
      </c>
      <c r="B614" s="2" t="s">
        <v>782</v>
      </c>
      <c r="C614" s="2" t="s">
        <v>892</v>
      </c>
      <c r="D614" s="3" t="str">
        <f>HYPERLINK("https://12go.asia/en/travel/funan/shenzhen-east", "12Go Link")</f>
        <v>12Go Link</v>
      </c>
      <c r="E614" s="2" t="s">
        <v>77</v>
      </c>
    </row>
    <row r="615">
      <c r="A615" s="2" t="s">
        <v>854</v>
      </c>
      <c r="B615" s="2" t="s">
        <v>782</v>
      </c>
      <c r="C615" s="2" t="s">
        <v>893</v>
      </c>
      <c r="D615" s="3" t="str">
        <f>HYPERLINK("https://12go.asia/en/travel/fuyang-anhui/shenzhen", "12Go Link")</f>
        <v>12Go Link</v>
      </c>
      <c r="E615" s="2" t="s">
        <v>77</v>
      </c>
    </row>
    <row r="616">
      <c r="A616" s="2" t="s">
        <v>854</v>
      </c>
      <c r="B616" s="2" t="s">
        <v>782</v>
      </c>
      <c r="C616" s="2" t="s">
        <v>894</v>
      </c>
      <c r="D616" s="3" t="str">
        <f>HYPERLINK("https://12go.asia/en/travel/fuyang-west/shenzhen-north", "12Go Link")</f>
        <v>12Go Link</v>
      </c>
      <c r="E616" s="2" t="s">
        <v>77</v>
      </c>
    </row>
    <row r="617">
      <c r="A617" s="2" t="s">
        <v>854</v>
      </c>
      <c r="B617" s="2" t="s">
        <v>418</v>
      </c>
      <c r="C617" s="2" t="s">
        <v>895</v>
      </c>
      <c r="D617" s="3" t="str">
        <f>HYPERLINK("https://12go.asia/en/travel/fuyang-anhui/shijiazhuang", "12Go Link")</f>
        <v>12Go Link</v>
      </c>
      <c r="E617" s="2" t="s">
        <v>77</v>
      </c>
    </row>
    <row r="618">
      <c r="A618" s="2" t="s">
        <v>854</v>
      </c>
      <c r="B618" s="2" t="s">
        <v>418</v>
      </c>
      <c r="C618" s="2" t="s">
        <v>896</v>
      </c>
      <c r="D618" s="3" t="str">
        <f>HYPERLINK("https://12go.asia/en/travel/fuyang-west/shijiazhuang", "12Go Link")</f>
        <v>12Go Link</v>
      </c>
      <c r="E618" s="2" t="s">
        <v>77</v>
      </c>
    </row>
    <row r="619">
      <c r="A619" s="2" t="s">
        <v>854</v>
      </c>
      <c r="B619" s="2" t="s">
        <v>897</v>
      </c>
      <c r="C619" s="2" t="s">
        <v>898</v>
      </c>
      <c r="D619" s="3" t="str">
        <f>HYPERLINK("https://12go.asia/en/travel/fuyang-anhui/sihui", "12Go Link")</f>
        <v>12Go Link</v>
      </c>
      <c r="E619" s="2" t="s">
        <v>77</v>
      </c>
    </row>
    <row r="620">
      <c r="A620" s="2" t="s">
        <v>854</v>
      </c>
      <c r="B620" s="2" t="s">
        <v>420</v>
      </c>
      <c r="C620" s="2" t="s">
        <v>899</v>
      </c>
      <c r="D620" s="3" t="str">
        <f>HYPERLINK("https://12go.asia/en/travel/fuyang-anhui/songjiang-shanghai", "12Go Link")</f>
        <v>12Go Link</v>
      </c>
      <c r="E620" s="2" t="s">
        <v>77</v>
      </c>
    </row>
    <row r="621">
      <c r="A621" s="2" t="s">
        <v>854</v>
      </c>
      <c r="B621" s="2" t="s">
        <v>420</v>
      </c>
      <c r="C621" s="2" t="s">
        <v>900</v>
      </c>
      <c r="D621" s="3" t="str">
        <f>HYPERLINK("https://12go.asia/en/travel/fuyang-west/shanghai-songjiang", "12Go Link")</f>
        <v>12Go Link</v>
      </c>
      <c r="E621" s="2" t="s">
        <v>77</v>
      </c>
    </row>
    <row r="622">
      <c r="A622" s="2" t="s">
        <v>854</v>
      </c>
      <c r="B622" s="2" t="s">
        <v>662</v>
      </c>
      <c r="C622" s="2" t="s">
        <v>901</v>
      </c>
      <c r="D622" s="3" t="str">
        <f>HYPERLINK("https://12go.asia/en/travel/fuyang-anhui/tianxin", "12Go Link")</f>
        <v>12Go Link</v>
      </c>
      <c r="E622" s="2" t="s">
        <v>77</v>
      </c>
    </row>
    <row r="623">
      <c r="A623" s="2" t="s">
        <v>854</v>
      </c>
      <c r="B623" s="2" t="s">
        <v>425</v>
      </c>
      <c r="C623" s="2" t="s">
        <v>902</v>
      </c>
      <c r="D623" s="3" t="str">
        <f>HYPERLINK("https://12go.asia/en/travel/fuyang-anhui/xigu", "12Go Link")</f>
        <v>12Go Link</v>
      </c>
      <c r="E623" s="2" t="s">
        <v>77</v>
      </c>
    </row>
    <row r="624">
      <c r="A624" s="2" t="s">
        <v>854</v>
      </c>
      <c r="B624" s="2" t="s">
        <v>471</v>
      </c>
      <c r="C624" s="2" t="s">
        <v>903</v>
      </c>
      <c r="D624" s="3" t="str">
        <f>HYPERLINK("https://12go.asia/en/travel/fuyang-anhui/xihu", "12Go Link")</f>
        <v>12Go Link</v>
      </c>
      <c r="E624" s="2" t="s">
        <v>77</v>
      </c>
    </row>
    <row r="625">
      <c r="A625" s="2" t="s">
        <v>854</v>
      </c>
      <c r="B625" s="2" t="s">
        <v>904</v>
      </c>
      <c r="C625" s="2" t="s">
        <v>905</v>
      </c>
      <c r="D625" s="3" t="str">
        <f>HYPERLINK("https://12go.asia/en/travel/fuyang-anhui/xinmin", "12Go Link")</f>
        <v>12Go Link</v>
      </c>
      <c r="E625" s="2" t="s">
        <v>77</v>
      </c>
    </row>
    <row r="626">
      <c r="A626" s="2" t="s">
        <v>854</v>
      </c>
      <c r="B626" s="2" t="s">
        <v>904</v>
      </c>
      <c r="C626" s="2" t="s">
        <v>906</v>
      </c>
      <c r="D626" s="3" t="str">
        <f>HYPERLINK("https://12go.asia/en/travel/fuyang-west/wuhu-north", "12Go Link")</f>
        <v>12Go Link</v>
      </c>
      <c r="E626" s="2" t="s">
        <v>77</v>
      </c>
    </row>
    <row r="627">
      <c r="A627" s="2" t="s">
        <v>854</v>
      </c>
      <c r="B627" s="2" t="s">
        <v>907</v>
      </c>
      <c r="C627" s="2" t="s">
        <v>908</v>
      </c>
      <c r="D627" s="3" t="str">
        <f>HYPERLINK("https://12go.asia/en/travel/fuyang-anhui/xuanzhou", "12Go Link")</f>
        <v>12Go Link</v>
      </c>
      <c r="E627" s="2" t="s">
        <v>77</v>
      </c>
    </row>
    <row r="628">
      <c r="A628" s="2" t="s">
        <v>854</v>
      </c>
      <c r="B628" s="2" t="s">
        <v>907</v>
      </c>
      <c r="C628" s="2" t="s">
        <v>909</v>
      </c>
      <c r="D628" s="3" t="str">
        <f>HYPERLINK("https://12go.asia/en/travel/fuyang-west/langxi-south", "12Go Link")</f>
        <v>12Go Link</v>
      </c>
      <c r="E628" s="2" t="s">
        <v>77</v>
      </c>
    </row>
    <row r="629">
      <c r="A629" s="2" t="s">
        <v>854</v>
      </c>
      <c r="B629" s="2" t="s">
        <v>910</v>
      </c>
      <c r="C629" s="2" t="s">
        <v>911</v>
      </c>
      <c r="D629" s="3" t="str">
        <f>HYPERLINK("https://12go.asia/en/travel/fuyang-anhui/xuchang", "12Go Link")</f>
        <v>12Go Link</v>
      </c>
      <c r="E629" s="2" t="s">
        <v>77</v>
      </c>
    </row>
    <row r="630">
      <c r="A630" s="2" t="s">
        <v>854</v>
      </c>
      <c r="B630" s="2" t="s">
        <v>910</v>
      </c>
      <c r="C630" s="2" t="s">
        <v>912</v>
      </c>
      <c r="D630" s="3" t="str">
        <f>HYPERLINK("https://12go.asia/en/travel/fuyang-west/xuchang-north", "12Go Link")</f>
        <v>12Go Link</v>
      </c>
      <c r="E630" s="2" t="s">
        <v>77</v>
      </c>
    </row>
    <row r="631">
      <c r="A631" s="2" t="s">
        <v>854</v>
      </c>
      <c r="B631" s="2" t="s">
        <v>378</v>
      </c>
      <c r="C631" s="2" t="s">
        <v>913</v>
      </c>
      <c r="D631" s="3" t="str">
        <f>HYPERLINK("https://12go.asia/en/travel/fuyang-anhui/xunxian", "12Go Link")</f>
        <v>12Go Link</v>
      </c>
      <c r="E631" s="2" t="s">
        <v>77</v>
      </c>
    </row>
    <row r="632">
      <c r="A632" s="2" t="s">
        <v>854</v>
      </c>
      <c r="B632" s="2" t="s">
        <v>852</v>
      </c>
      <c r="C632" s="2" t="s">
        <v>914</v>
      </c>
      <c r="D632" s="3" t="str">
        <f>HYPERLINK("https://12go.asia/en/travel/fuyang-anhui/yancheng", "12Go Link")</f>
        <v>12Go Link</v>
      </c>
      <c r="E632" s="2" t="s">
        <v>77</v>
      </c>
    </row>
    <row r="633">
      <c r="A633" s="2" t="s">
        <v>854</v>
      </c>
      <c r="B633" s="2" t="s">
        <v>915</v>
      </c>
      <c r="C633" s="2" t="s">
        <v>916</v>
      </c>
      <c r="D633" s="3" t="str">
        <f>HYPERLINK("https://12go.asia/en/travel/fuyang-anhui/yutian", "12Go Link")</f>
        <v>12Go Link</v>
      </c>
      <c r="E633" s="2" t="s">
        <v>77</v>
      </c>
    </row>
    <row r="634">
      <c r="A634" s="2" t="s">
        <v>854</v>
      </c>
      <c r="B634" s="2" t="s">
        <v>915</v>
      </c>
      <c r="C634" s="2" t="s">
        <v>917</v>
      </c>
      <c r="D634" s="3" t="str">
        <f>HYPERLINK("https://12go.asia/en/travel/fuyang-west/wuhu-south", "12Go Link")</f>
        <v>12Go Link</v>
      </c>
      <c r="E634" s="2" t="s">
        <v>77</v>
      </c>
    </row>
    <row r="635">
      <c r="A635" s="2" t="s">
        <v>854</v>
      </c>
      <c r="B635" s="2" t="s">
        <v>918</v>
      </c>
      <c r="C635" s="2" t="s">
        <v>919</v>
      </c>
      <c r="D635" s="3" t="str">
        <f>HYPERLINK("https://12go.asia/en/travel/fuyang-anhui/yuzhong", "12Go Link")</f>
        <v>12Go Link</v>
      </c>
      <c r="E635" s="2" t="s">
        <v>77</v>
      </c>
    </row>
    <row r="636">
      <c r="A636" s="2" t="s">
        <v>854</v>
      </c>
      <c r="B636" s="2" t="s">
        <v>575</v>
      </c>
      <c r="C636" s="2" t="s">
        <v>920</v>
      </c>
      <c r="D636" s="3" t="str">
        <f>HYPERLINK("https://12go.asia/en/travel/fuyang-anhui/zhangjiagang", "12Go Link")</f>
        <v>12Go Link</v>
      </c>
      <c r="E636" s="2" t="s">
        <v>77</v>
      </c>
    </row>
    <row r="637">
      <c r="A637" s="2" t="s">
        <v>854</v>
      </c>
      <c r="B637" s="2" t="s">
        <v>575</v>
      </c>
      <c r="C637" s="2" t="s">
        <v>921</v>
      </c>
      <c r="D637" s="3" t="str">
        <f>HYPERLINK("https://12go.asia/en/travel/fuyang-west/zhangjiagang", "12Go Link")</f>
        <v>12Go Link</v>
      </c>
      <c r="E637" s="2" t="s">
        <v>77</v>
      </c>
    </row>
    <row r="638">
      <c r="A638" s="2" t="s">
        <v>854</v>
      </c>
      <c r="B638" s="2" t="s">
        <v>799</v>
      </c>
      <c r="C638" s="2" t="s">
        <v>922</v>
      </c>
      <c r="D638" s="3" t="str">
        <f>HYPERLINK("https://12go.asia/en/travel/fuyang-west/zhengzhou-hangkonggang", "12Go Link")</f>
        <v>12Go Link</v>
      </c>
      <c r="E638" s="2" t="s">
        <v>77</v>
      </c>
    </row>
    <row r="639">
      <c r="A639" s="2" t="s">
        <v>742</v>
      </c>
      <c r="B639" s="2" t="s">
        <v>415</v>
      </c>
      <c r="C639" s="2" t="s">
        <v>923</v>
      </c>
      <c r="D639" s="3" t="str">
        <f>HYPERLINK("https://12go.asia/en/travel/fuzhou/guzhang", "12Go Link")</f>
        <v>12Go Link</v>
      </c>
      <c r="E639" s="2" t="s">
        <v>77</v>
      </c>
    </row>
    <row r="640">
      <c r="A640" s="2" t="s">
        <v>742</v>
      </c>
      <c r="B640" s="2" t="s">
        <v>722</v>
      </c>
      <c r="C640" s="2" t="s">
        <v>924</v>
      </c>
      <c r="D640" s="3" t="str">
        <f>HYPERLINK("https://12go.asia/en/travel/fuzhou-south/huizhou-north", "12Go Link")</f>
        <v>12Go Link</v>
      </c>
      <c r="E640" s="2" t="s">
        <v>77</v>
      </c>
    </row>
    <row r="641">
      <c r="A641" s="2" t="s">
        <v>742</v>
      </c>
      <c r="B641" s="2" t="s">
        <v>724</v>
      </c>
      <c r="C641" s="2" t="s">
        <v>925</v>
      </c>
      <c r="D641" s="3" t="str">
        <f>HYPERLINK("https://12go.asia/en/travel/fuzhou/jiangbei", "12Go Link")</f>
        <v>12Go Link</v>
      </c>
      <c r="E641" s="2" t="s">
        <v>77</v>
      </c>
    </row>
    <row r="642">
      <c r="A642" s="2" t="s">
        <v>742</v>
      </c>
      <c r="B642" s="2" t="s">
        <v>730</v>
      </c>
      <c r="C642" s="2" t="s">
        <v>926</v>
      </c>
      <c r="D642" s="3" t="str">
        <f>HYPERLINK("https://12go.asia/en/travel/fuzhou/jiangyuan", "12Go Link")</f>
        <v>12Go Link</v>
      </c>
      <c r="E642" s="2" t="s">
        <v>77</v>
      </c>
    </row>
    <row r="643">
      <c r="A643" s="2" t="s">
        <v>742</v>
      </c>
      <c r="B643" s="2" t="s">
        <v>381</v>
      </c>
      <c r="C643" s="2" t="s">
        <v>927</v>
      </c>
      <c r="D643" s="3" t="str">
        <f>HYPERLINK("https://12go.asia/en/travel/fuzhou/pujiangzhen", "12Go Link")</f>
        <v>12Go Link</v>
      </c>
      <c r="E643" s="2" t="s">
        <v>77</v>
      </c>
    </row>
    <row r="644">
      <c r="A644" s="2" t="s">
        <v>742</v>
      </c>
      <c r="B644" s="2" t="s">
        <v>459</v>
      </c>
      <c r="C644" s="2" t="s">
        <v>928</v>
      </c>
      <c r="D644" s="3" t="str">
        <f>HYPERLINK("https://12go.asia/en/travel/fuzhou-south/shanghai-south", "12Go Link")</f>
        <v>12Go Link</v>
      </c>
      <c r="E644" s="2" t="s">
        <v>77</v>
      </c>
    </row>
    <row r="645">
      <c r="A645" s="2" t="s">
        <v>742</v>
      </c>
      <c r="B645" s="2" t="s">
        <v>929</v>
      </c>
      <c r="C645" s="2" t="s">
        <v>930</v>
      </c>
      <c r="D645" s="3" t="str">
        <f>HYPERLINK("https://12go.asia/en/travel/fuzhou/xinyu", "12Go Link")</f>
        <v>12Go Link</v>
      </c>
      <c r="E645" s="2" t="s">
        <v>77</v>
      </c>
    </row>
    <row r="646">
      <c r="A646" s="2" t="s">
        <v>742</v>
      </c>
      <c r="B646" s="2" t="s">
        <v>429</v>
      </c>
      <c r="C646" s="2" t="s">
        <v>931</v>
      </c>
      <c r="D646" s="3" t="str">
        <f>HYPERLINK("https://12go.asia/en/travel/fuzhou/xishui", "12Go Link")</f>
        <v>12Go Link</v>
      </c>
      <c r="E646" s="2" t="s">
        <v>77</v>
      </c>
    </row>
    <row r="647">
      <c r="A647" s="2" t="s">
        <v>368</v>
      </c>
      <c r="B647" s="2" t="s">
        <v>932</v>
      </c>
      <c r="C647" s="2" t="s">
        <v>933</v>
      </c>
      <c r="D647" s="3" t="str">
        <f>HYPERLINK("https://12go.asia/en/travel/gansu/huade", "12Go Link")</f>
        <v>12Go Link</v>
      </c>
      <c r="E647" s="2" t="s">
        <v>77</v>
      </c>
    </row>
    <row r="648">
      <c r="A648" s="2" t="s">
        <v>368</v>
      </c>
      <c r="B648" s="2" t="s">
        <v>381</v>
      </c>
      <c r="C648" s="2" t="s">
        <v>934</v>
      </c>
      <c r="D648" s="3" t="str">
        <f>HYPERLINK("https://12go.asia/en/travel/gansu/pujiangzhen", "12Go Link")</f>
        <v>12Go Link</v>
      </c>
      <c r="E648" s="2" t="s">
        <v>77</v>
      </c>
    </row>
    <row r="649">
      <c r="A649" s="2" t="s">
        <v>935</v>
      </c>
      <c r="B649" s="2" t="s">
        <v>439</v>
      </c>
      <c r="C649" s="2" t="s">
        <v>936</v>
      </c>
      <c r="D649" s="3" t="str">
        <f>HYPERLINK("https://12go.asia/en/travel/ganzhou/binhai", "12Go Link")</f>
        <v>12Go Link</v>
      </c>
      <c r="E649" s="2" t="s">
        <v>77</v>
      </c>
    </row>
    <row r="650">
      <c r="A650" s="2" t="s">
        <v>935</v>
      </c>
      <c r="B650" s="2" t="s">
        <v>439</v>
      </c>
      <c r="C650" s="2" t="s">
        <v>937</v>
      </c>
      <c r="D650" s="3" t="str">
        <f>HYPERLINK("https://12go.asia/en/travel/ganzhou/tanggu", "12Go Link")</f>
        <v>12Go Link</v>
      </c>
      <c r="E650" s="2" t="s">
        <v>77</v>
      </c>
    </row>
    <row r="651">
      <c r="A651" s="2" t="s">
        <v>935</v>
      </c>
      <c r="B651" s="2" t="s">
        <v>938</v>
      </c>
      <c r="C651" s="2" t="s">
        <v>939</v>
      </c>
      <c r="D651" s="3" t="str">
        <f>HYPERLINK("https://12go.asia/en/travel/ganzhou/qingyuan", "12Go Link")</f>
        <v>12Go Link</v>
      </c>
      <c r="E651" s="2" t="s">
        <v>77</v>
      </c>
    </row>
    <row r="652">
      <c r="A652" s="2" t="s">
        <v>935</v>
      </c>
      <c r="B652" s="2" t="s">
        <v>938</v>
      </c>
      <c r="C652" s="2" t="s">
        <v>940</v>
      </c>
      <c r="D652" s="3" t="str">
        <f>HYPERLINK("https://12go.asia/en/travel/ganzhou/yuantan", "12Go Link")</f>
        <v>12Go Link</v>
      </c>
      <c r="E652" s="2" t="s">
        <v>77</v>
      </c>
    </row>
    <row r="653">
      <c r="A653" s="2" t="s">
        <v>935</v>
      </c>
      <c r="B653" s="2" t="s">
        <v>420</v>
      </c>
      <c r="C653" s="2" t="s">
        <v>941</v>
      </c>
      <c r="D653" s="3" t="str">
        <f>HYPERLINK("https://12go.asia/en/travel/ganzhou/shanghai-songjiang", "12Go Link")</f>
        <v>12Go Link</v>
      </c>
      <c r="E653" s="2" t="s">
        <v>77</v>
      </c>
    </row>
    <row r="654">
      <c r="A654" s="2" t="s">
        <v>935</v>
      </c>
      <c r="B654" s="2" t="s">
        <v>420</v>
      </c>
      <c r="C654" s="2" t="s">
        <v>942</v>
      </c>
      <c r="D654" s="3" t="str">
        <f>HYPERLINK("https://12go.asia/en/travel/ganzhou/songjiang-shanghai", "12Go Link")</f>
        <v>12Go Link</v>
      </c>
      <c r="E654" s="2" t="s">
        <v>77</v>
      </c>
    </row>
    <row r="655">
      <c r="A655" s="2" t="s">
        <v>935</v>
      </c>
      <c r="B655" s="2" t="s">
        <v>786</v>
      </c>
      <c r="C655" s="2" t="s">
        <v>943</v>
      </c>
      <c r="D655" s="3" t="str">
        <f>HYPERLINK("https://12go.asia/en/travel/ganzhou/wenzhou", "12Go Link")</f>
        <v>12Go Link</v>
      </c>
      <c r="E655" s="2" t="s">
        <v>77</v>
      </c>
    </row>
    <row r="656">
      <c r="A656" s="2" t="s">
        <v>935</v>
      </c>
      <c r="B656" s="2" t="s">
        <v>786</v>
      </c>
      <c r="C656" s="2" t="s">
        <v>944</v>
      </c>
      <c r="D656" s="3" t="str">
        <f>HYPERLINK("https://12go.asia/en/travel/ganzhou/wenzhou-south", "12Go Link")</f>
        <v>12Go Link</v>
      </c>
      <c r="E656" s="2" t="s">
        <v>77</v>
      </c>
    </row>
    <row r="657">
      <c r="A657" s="2" t="s">
        <v>412</v>
      </c>
      <c r="B657" s="2" t="s">
        <v>438</v>
      </c>
      <c r="C657" s="2" t="s">
        <v>945</v>
      </c>
      <c r="D657" s="3" t="str">
        <f>HYPERLINK("https://12go.asia/en/travel/gaocheng-south/funing-east", "12Go Link")</f>
        <v>12Go Link</v>
      </c>
      <c r="E657" s="2" t="s">
        <v>77</v>
      </c>
    </row>
    <row r="658">
      <c r="A658" s="2" t="s">
        <v>412</v>
      </c>
      <c r="B658" s="2" t="s">
        <v>438</v>
      </c>
      <c r="C658" s="2" t="s">
        <v>946</v>
      </c>
      <c r="D658" s="3" t="str">
        <f>HYPERLINK("https://12go.asia/en/travel/gaocheng/beidaihe", "12Go Link")</f>
        <v>12Go Link</v>
      </c>
      <c r="E658" s="2" t="s">
        <v>77</v>
      </c>
    </row>
    <row r="659">
      <c r="A659" s="2" t="s">
        <v>947</v>
      </c>
      <c r="B659" s="2" t="s">
        <v>948</v>
      </c>
      <c r="C659" s="2" t="s">
        <v>949</v>
      </c>
      <c r="D659" s="3" t="str">
        <f>HYPERLINK("https://12go.asia/en/travel/golmud/qinghai", "12Go Link")</f>
        <v>12Go Link</v>
      </c>
      <c r="E659" s="2" t="s">
        <v>77</v>
      </c>
    </row>
    <row r="660">
      <c r="A660" s="2" t="s">
        <v>713</v>
      </c>
      <c r="B660" s="2" t="s">
        <v>750</v>
      </c>
      <c r="C660" s="2" t="s">
        <v>950</v>
      </c>
      <c r="D660" s="3" t="str">
        <f>HYPERLINK("https://12go.asia/en/travel/guangzhou-south/luohe-west", "12Go Link")</f>
        <v>12Go Link</v>
      </c>
      <c r="E660" s="2" t="s">
        <v>77</v>
      </c>
    </row>
    <row r="661">
      <c r="A661" s="2" t="s">
        <v>713</v>
      </c>
      <c r="B661" s="2" t="s">
        <v>951</v>
      </c>
      <c r="C661" s="2" t="s">
        <v>952</v>
      </c>
      <c r="D661" s="3" t="str">
        <f>HYPERLINK("https://12go.asia/en/travel/guangzhou/yongding", "12Go Link")</f>
        <v>12Go Link</v>
      </c>
      <c r="E661" s="2" t="s">
        <v>77</v>
      </c>
    </row>
    <row r="662">
      <c r="A662" s="2" t="s">
        <v>713</v>
      </c>
      <c r="B662" s="2" t="s">
        <v>459</v>
      </c>
      <c r="C662" s="2" t="s">
        <v>953</v>
      </c>
      <c r="D662" s="3" t="str">
        <f>HYPERLINK("https://12go.asia/en/travel/guangzhou-east/shanghai-south", "12Go Link")</f>
        <v>12Go Link</v>
      </c>
      <c r="E662" s="2" t="s">
        <v>77</v>
      </c>
    </row>
    <row r="663">
      <c r="A663" s="2" t="s">
        <v>713</v>
      </c>
      <c r="B663" s="2" t="s">
        <v>461</v>
      </c>
      <c r="C663" s="2" t="s">
        <v>954</v>
      </c>
      <c r="D663" s="3" t="str">
        <f>HYPERLINK("https://12go.asia/en/travel/guangzhou-east/shanghai-hongqiao-airport", "12Go Link")</f>
        <v>12Go Link</v>
      </c>
      <c r="E663" s="2" t="s">
        <v>77</v>
      </c>
    </row>
    <row r="664">
      <c r="A664" s="2" t="s">
        <v>713</v>
      </c>
      <c r="B664" s="2" t="s">
        <v>575</v>
      </c>
      <c r="C664" s="2" t="s">
        <v>955</v>
      </c>
      <c r="D664" s="3" t="str">
        <f>HYPERLINK("https://12go.asia/en/travel/guangzhou-north/zhangjiagang", "12Go Link")</f>
        <v>12Go Link</v>
      </c>
      <c r="E664" s="2" t="s">
        <v>77</v>
      </c>
    </row>
    <row r="665">
      <c r="A665" s="2" t="s">
        <v>713</v>
      </c>
      <c r="B665" s="2" t="s">
        <v>575</v>
      </c>
      <c r="C665" s="2" t="s">
        <v>956</v>
      </c>
      <c r="D665" s="3" t="str">
        <f>HYPERLINK("https://12go.asia/en/travel/guangzhou/zhangjiagang", "12Go Link")</f>
        <v>12Go Link</v>
      </c>
      <c r="E665" s="2" t="s">
        <v>77</v>
      </c>
    </row>
    <row r="666">
      <c r="A666" s="2" t="s">
        <v>957</v>
      </c>
      <c r="B666" s="2" t="s">
        <v>478</v>
      </c>
      <c r="C666" s="2" t="s">
        <v>958</v>
      </c>
      <c r="D666" s="3" t="str">
        <f>HYPERLINK("https://12go.asia/en/travel/guilin-north/guigang", "12Go Link")</f>
        <v>12Go Link</v>
      </c>
      <c r="E666" s="2" t="s">
        <v>77</v>
      </c>
    </row>
    <row r="667">
      <c r="A667" s="2" t="s">
        <v>957</v>
      </c>
      <c r="B667" s="2" t="s">
        <v>478</v>
      </c>
      <c r="C667" s="2" t="s">
        <v>959</v>
      </c>
      <c r="D667" s="3" t="str">
        <f>HYPERLINK("https://12go.asia/en/travel/guilin/guigang", "12Go Link")</f>
        <v>12Go Link</v>
      </c>
      <c r="E667" s="2" t="s">
        <v>77</v>
      </c>
    </row>
    <row r="668">
      <c r="A668" s="2" t="s">
        <v>836</v>
      </c>
      <c r="B668" s="2" t="s">
        <v>960</v>
      </c>
      <c r="C668" s="2" t="s">
        <v>961</v>
      </c>
      <c r="D668" s="3" t="str">
        <f>HYPERLINK("https://12go.asia/en/travel/guiyang-north/baise", "12Go Link")</f>
        <v>12Go Link</v>
      </c>
      <c r="E668" s="2" t="s">
        <v>77</v>
      </c>
    </row>
    <row r="669">
      <c r="A669" s="2" t="s">
        <v>836</v>
      </c>
      <c r="B669" s="2" t="s">
        <v>960</v>
      </c>
      <c r="C669" s="2" t="s">
        <v>962</v>
      </c>
      <c r="D669" s="3" t="str">
        <f>HYPERLINK("https://12go.asia/en/travel/guiyang/baise", "12Go Link")</f>
        <v>12Go Link</v>
      </c>
      <c r="E669" s="2" t="s">
        <v>77</v>
      </c>
    </row>
    <row r="670">
      <c r="A670" s="2" t="s">
        <v>836</v>
      </c>
      <c r="B670" s="2" t="s">
        <v>963</v>
      </c>
      <c r="C670" s="2" t="s">
        <v>964</v>
      </c>
      <c r="D670" s="3" t="str">
        <f>HYPERLINK("https://12go.asia/en/travel/guiyang/congjiang", "12Go Link")</f>
        <v>12Go Link</v>
      </c>
      <c r="E670" s="2" t="s">
        <v>77</v>
      </c>
    </row>
    <row r="671">
      <c r="A671" s="2" t="s">
        <v>836</v>
      </c>
      <c r="B671" s="2" t="s">
        <v>461</v>
      </c>
      <c r="C671" s="2" t="s">
        <v>965</v>
      </c>
      <c r="D671" s="3" t="str">
        <f>HYPERLINK("https://12go.asia/en/travel/guiyang-east/shanghai-hongqiao-airport", "12Go Link")</f>
        <v>12Go Link</v>
      </c>
      <c r="E671" s="2" t="s">
        <v>77</v>
      </c>
    </row>
    <row r="672">
      <c r="A672" s="2" t="s">
        <v>836</v>
      </c>
      <c r="B672" s="2" t="s">
        <v>461</v>
      </c>
      <c r="C672" s="2" t="s">
        <v>966</v>
      </c>
      <c r="D672" s="3" t="str">
        <f>HYPERLINK("https://12go.asia/en/travel/guiyang-north/shanghai-hongqiao-airport", "12Go Link")</f>
        <v>12Go Link</v>
      </c>
      <c r="E672" s="2" t="s">
        <v>77</v>
      </c>
    </row>
    <row r="673">
      <c r="A673" s="2" t="s">
        <v>836</v>
      </c>
      <c r="B673" s="2" t="s">
        <v>575</v>
      </c>
      <c r="C673" s="2" t="s">
        <v>967</v>
      </c>
      <c r="D673" s="3" t="str">
        <f>HYPERLINK("https://12go.asia/en/travel/guiyang-north/zhangjiagang", "12Go Link")</f>
        <v>12Go Link</v>
      </c>
      <c r="E673" s="2" t="s">
        <v>77</v>
      </c>
    </row>
    <row r="674">
      <c r="A674" s="2" t="s">
        <v>836</v>
      </c>
      <c r="B674" s="2" t="s">
        <v>575</v>
      </c>
      <c r="C674" s="2" t="s">
        <v>968</v>
      </c>
      <c r="D674" s="3" t="str">
        <f>HYPERLINK("https://12go.asia/en/travel/guiyang/zhangjiagang", "12Go Link")</f>
        <v>12Go Link</v>
      </c>
      <c r="E674" s="2" t="s">
        <v>77</v>
      </c>
    </row>
    <row r="675">
      <c r="A675" s="2" t="s">
        <v>963</v>
      </c>
      <c r="B675" s="2" t="s">
        <v>969</v>
      </c>
      <c r="C675" s="2" t="s">
        <v>970</v>
      </c>
      <c r="D675" s="3" t="str">
        <f>HYPERLINK("https://12go.asia/en/travel/guizhou/wuzhou", "12Go Link")</f>
        <v>12Go Link</v>
      </c>
      <c r="E675" s="2" t="s">
        <v>77</v>
      </c>
    </row>
    <row r="676">
      <c r="A676" s="2" t="s">
        <v>415</v>
      </c>
      <c r="B676" s="2" t="s">
        <v>836</v>
      </c>
      <c r="C676" s="2" t="s">
        <v>971</v>
      </c>
      <c r="D676" s="3" t="str">
        <f>HYPERLINK("https://12go.asia/en/travel/jinyangnan/guiyang-east", "12Go Link")</f>
        <v>12Go Link</v>
      </c>
      <c r="E676" s="2" t="s">
        <v>77</v>
      </c>
    </row>
    <row r="677">
      <c r="A677" s="2" t="s">
        <v>972</v>
      </c>
      <c r="B677" s="2" t="s">
        <v>972</v>
      </c>
      <c r="C677" s="2" t="s">
        <v>973</v>
      </c>
      <c r="D677" s="3" t="str">
        <f>HYPERLINK("https://12go.asia/en/travel/meilan/dongfang", "12Go Link")</f>
        <v>12Go Link</v>
      </c>
      <c r="E677" s="2" t="s">
        <v>77</v>
      </c>
    </row>
    <row r="678">
      <c r="A678" s="2" t="s">
        <v>972</v>
      </c>
      <c r="B678" s="2" t="s">
        <v>972</v>
      </c>
      <c r="C678" s="2" t="s">
        <v>974</v>
      </c>
      <c r="D678" s="3" t="str">
        <f>HYPERLINK("https://12go.asia/en/travel/wanning/wenchang", "12Go Link")</f>
        <v>12Go Link</v>
      </c>
      <c r="E678" s="2" t="s">
        <v>77</v>
      </c>
    </row>
    <row r="679">
      <c r="A679" s="2" t="s">
        <v>444</v>
      </c>
      <c r="B679" s="2" t="s">
        <v>621</v>
      </c>
      <c r="C679" s="2" t="s">
        <v>975</v>
      </c>
      <c r="D679" s="3" t="str">
        <f>HYPERLINK("https://12go.asia/en/travel/handan/jiaxiang", "12Go Link")</f>
        <v>12Go Link</v>
      </c>
      <c r="E679" s="2" t="s">
        <v>77</v>
      </c>
    </row>
    <row r="680">
      <c r="A680" s="2" t="s">
        <v>444</v>
      </c>
      <c r="B680" s="2" t="s">
        <v>405</v>
      </c>
      <c r="C680" s="2" t="s">
        <v>976</v>
      </c>
      <c r="D680" s="3" t="str">
        <f>HYPERLINK("https://12go.asia/en/travel/handan/zhangjiakou", "12Go Link")</f>
        <v>12Go Link</v>
      </c>
      <c r="E680" s="2" t="s">
        <v>77</v>
      </c>
    </row>
    <row r="681">
      <c r="A681" s="2" t="s">
        <v>746</v>
      </c>
      <c r="B681" s="2" t="s">
        <v>720</v>
      </c>
      <c r="C681" s="2" t="s">
        <v>977</v>
      </c>
      <c r="D681" s="3" t="str">
        <f>HYPERLINK("https://12go.asia/en/travel/hangzhou-east/xiapu", "12Go Link")</f>
        <v>12Go Link</v>
      </c>
      <c r="E681" s="2" t="s">
        <v>77</v>
      </c>
    </row>
    <row r="682">
      <c r="A682" s="2" t="s">
        <v>746</v>
      </c>
      <c r="B682" s="2" t="s">
        <v>711</v>
      </c>
      <c r="C682" s="2" t="s">
        <v>978</v>
      </c>
      <c r="D682" s="3" t="str">
        <f>HYPERLINK("https://12go.asia/en/travel/hangzhou-east/chaoshan", "12Go Link")</f>
        <v>12Go Link</v>
      </c>
      <c r="E682" s="2" t="s">
        <v>77</v>
      </c>
    </row>
    <row r="683">
      <c r="A683" s="2" t="s">
        <v>746</v>
      </c>
      <c r="B683" s="2" t="s">
        <v>807</v>
      </c>
      <c r="C683" s="2" t="s">
        <v>979</v>
      </c>
      <c r="D683" s="3" t="str">
        <f>HYPERLINK("https://12go.asia/en/travel/hangzhou-east/jinan-west", "12Go Link")</f>
        <v>12Go Link</v>
      </c>
      <c r="E683" s="2" t="s">
        <v>77</v>
      </c>
    </row>
    <row r="684">
      <c r="A684" s="2" t="s">
        <v>746</v>
      </c>
      <c r="B684" s="2" t="s">
        <v>980</v>
      </c>
      <c r="C684" s="2" t="s">
        <v>981</v>
      </c>
      <c r="D684" s="3" t="str">
        <f>HYPERLINK("https://12go.asia/en/travel/hangzhou-south/kaifeng-north", "12Go Link")</f>
        <v>12Go Link</v>
      </c>
      <c r="E684" s="2" t="s">
        <v>77</v>
      </c>
    </row>
    <row r="685">
      <c r="A685" s="2" t="s">
        <v>746</v>
      </c>
      <c r="B685" s="2" t="s">
        <v>982</v>
      </c>
      <c r="C685" s="2" t="s">
        <v>983</v>
      </c>
      <c r="D685" s="3" t="str">
        <f>HYPERLINK("https://12go.asia/en/travel/hangzhou-east/ningde", "12Go Link")</f>
        <v>12Go Link</v>
      </c>
      <c r="E685" s="2" t="s">
        <v>77</v>
      </c>
    </row>
    <row r="686">
      <c r="A686" s="2" t="s">
        <v>746</v>
      </c>
      <c r="B686" s="2" t="s">
        <v>982</v>
      </c>
      <c r="C686" s="2" t="s">
        <v>984</v>
      </c>
      <c r="D686" s="3" t="str">
        <f>HYPERLINK("https://12go.asia/en/travel/hangzhou-south/ningde", "12Go Link")</f>
        <v>12Go Link</v>
      </c>
      <c r="E686" s="2" t="s">
        <v>77</v>
      </c>
    </row>
    <row r="687">
      <c r="A687" s="2" t="s">
        <v>538</v>
      </c>
      <c r="B687" s="2" t="s">
        <v>870</v>
      </c>
      <c r="C687" s="2" t="s">
        <v>985</v>
      </c>
      <c r="D687" s="3" t="str">
        <f>HYPERLINK("https://12go.asia/en/travel/harbin/guangzhoubaiyun", "12Go Link")</f>
        <v>12Go Link</v>
      </c>
      <c r="E687" s="2" t="s">
        <v>77</v>
      </c>
    </row>
    <row r="688">
      <c r="A688" s="2" t="s">
        <v>538</v>
      </c>
      <c r="B688" s="2" t="s">
        <v>388</v>
      </c>
      <c r="C688" s="2" t="s">
        <v>986</v>
      </c>
      <c r="D688" s="3" t="str">
        <f>HYPERLINK("https://12go.asia/en/travel/harbin-north/beijing-chaoyang", "12Go Link")</f>
        <v>12Go Link</v>
      </c>
      <c r="E688" s="2" t="s">
        <v>77</v>
      </c>
    </row>
    <row r="689">
      <c r="A689" s="2" t="s">
        <v>538</v>
      </c>
      <c r="B689" s="2" t="s">
        <v>987</v>
      </c>
      <c r="C689" s="2" t="s">
        <v>988</v>
      </c>
      <c r="D689" s="3" t="str">
        <f>HYPERLINK("https://12go.asia/en/travel/harbin/wuhu", "12Go Link")</f>
        <v>12Go Link</v>
      </c>
      <c r="E689" s="2" t="s">
        <v>77</v>
      </c>
    </row>
    <row r="690">
      <c r="A690" s="2" t="s">
        <v>989</v>
      </c>
      <c r="B690" s="2" t="s">
        <v>733</v>
      </c>
      <c r="C690" s="2" t="s">
        <v>990</v>
      </c>
      <c r="D690" s="3" t="str">
        <f>HYPERLINK("https://12go.asia/en/travel/hechi/qingzhen", "12Go Link")</f>
        <v>12Go Link</v>
      </c>
      <c r="E690" s="2" t="s">
        <v>77</v>
      </c>
    </row>
    <row r="691">
      <c r="A691" s="2" t="s">
        <v>748</v>
      </c>
      <c r="B691" s="2" t="s">
        <v>407</v>
      </c>
      <c r="C691" s="2" t="s">
        <v>991</v>
      </c>
      <c r="D691" s="3" t="str">
        <f>HYPERLINK("https://12go.asia/en/travel/hefei/baotou", "12Go Link")</f>
        <v>12Go Link</v>
      </c>
      <c r="E691" s="2" t="s">
        <v>77</v>
      </c>
    </row>
    <row r="692">
      <c r="A692" s="2" t="s">
        <v>748</v>
      </c>
      <c r="B692" s="2" t="s">
        <v>442</v>
      </c>
      <c r="C692" s="2" t="s">
        <v>992</v>
      </c>
      <c r="D692" s="3" t="str">
        <f>HYPERLINK("https://12go.asia/en/travel/hefei/cangzhou", "12Go Link")</f>
        <v>12Go Link</v>
      </c>
      <c r="E692" s="2" t="s">
        <v>77</v>
      </c>
    </row>
    <row r="693">
      <c r="A693" s="2" t="s">
        <v>748</v>
      </c>
      <c r="B693" s="2" t="s">
        <v>993</v>
      </c>
      <c r="C693" s="2" t="s">
        <v>994</v>
      </c>
      <c r="D693" s="3" t="str">
        <f>HYPERLINK("https://12go.asia/en/travel/hefei-south/zibo", "12Go Link")</f>
        <v>12Go Link</v>
      </c>
      <c r="E693" s="2" t="s">
        <v>77</v>
      </c>
    </row>
    <row r="694">
      <c r="A694" s="2" t="s">
        <v>748</v>
      </c>
      <c r="B694" s="2" t="s">
        <v>993</v>
      </c>
      <c r="C694" s="2" t="s">
        <v>995</v>
      </c>
      <c r="D694" s="3" t="str">
        <f>HYPERLINK("https://12go.asia/en/travel/hefei/zibo", "12Go Link")</f>
        <v>12Go Link</v>
      </c>
      <c r="E694" s="2" t="s">
        <v>77</v>
      </c>
    </row>
    <row r="695">
      <c r="A695" s="2" t="s">
        <v>376</v>
      </c>
      <c r="B695" s="2" t="s">
        <v>621</v>
      </c>
      <c r="C695" s="2" t="s">
        <v>996</v>
      </c>
      <c r="D695" s="3" t="str">
        <f>HYPERLINK("https://12go.asia/en/travel/heilongjiang/jiaxiang", "12Go Link")</f>
        <v>12Go Link</v>
      </c>
      <c r="E695" s="2" t="s">
        <v>77</v>
      </c>
    </row>
    <row r="696">
      <c r="A696" s="2" t="s">
        <v>376</v>
      </c>
      <c r="B696" s="2" t="s">
        <v>987</v>
      </c>
      <c r="C696" s="2" t="s">
        <v>997</v>
      </c>
      <c r="D696" s="3" t="str">
        <f>HYPERLINK("https://12go.asia/en/travel/heilongjiang/wuhu", "12Go Link")</f>
        <v>12Go Link</v>
      </c>
      <c r="E696" s="2" t="s">
        <v>77</v>
      </c>
    </row>
    <row r="697">
      <c r="A697" s="2" t="s">
        <v>998</v>
      </c>
      <c r="B697" s="2" t="s">
        <v>999</v>
      </c>
      <c r="C697" s="2" t="s">
        <v>1000</v>
      </c>
      <c r="D697" s="3" t="str">
        <f>HYPERLINK("https://12go.asia/en/travel/hekou-north/honghe", "12Go Link")</f>
        <v>12Go Link</v>
      </c>
      <c r="E697" s="2" t="s">
        <v>77</v>
      </c>
    </row>
    <row r="698">
      <c r="A698" s="2" t="s">
        <v>998</v>
      </c>
      <c r="B698" s="2" t="s">
        <v>999</v>
      </c>
      <c r="C698" s="2" t="s">
        <v>1001</v>
      </c>
      <c r="D698" s="3" t="str">
        <f>HYPERLINK("https://12go.asia/en/travel/hekou/shuangyashan", "12Go Link")</f>
        <v>12Go Link</v>
      </c>
      <c r="E698" s="2" t="s">
        <v>77</v>
      </c>
    </row>
    <row r="699">
      <c r="A699" s="2" t="s">
        <v>750</v>
      </c>
      <c r="B699" s="2" t="s">
        <v>1002</v>
      </c>
      <c r="C699" s="2" t="s">
        <v>1003</v>
      </c>
      <c r="D699" s="3" t="str">
        <f>HYPERLINK("https://12go.asia/en/travel/henan/yulin-guangxi", "12Go Link")</f>
        <v>12Go Link</v>
      </c>
      <c r="E699" s="2" t="s">
        <v>77</v>
      </c>
    </row>
    <row r="700">
      <c r="A700" s="2" t="s">
        <v>1004</v>
      </c>
      <c r="B700" s="2" t="s">
        <v>434</v>
      </c>
      <c r="C700" s="2" t="s">
        <v>1005</v>
      </c>
      <c r="D700" s="3" t="str">
        <f>HYPERLINK("https://12go.asia/en/travel/hengshui-north/hohhot-east", "12Go Link")</f>
        <v>12Go Link</v>
      </c>
      <c r="E700" s="2" t="s">
        <v>77</v>
      </c>
    </row>
    <row r="701">
      <c r="A701" s="2" t="s">
        <v>1004</v>
      </c>
      <c r="B701" s="2" t="s">
        <v>434</v>
      </c>
      <c r="C701" s="2" t="s">
        <v>1006</v>
      </c>
      <c r="D701" s="3" t="str">
        <f>HYPERLINK("https://12go.asia/en/travel/hengshui/hohhot", "12Go Link")</f>
        <v>12Go Link</v>
      </c>
      <c r="E701" s="2" t="s">
        <v>77</v>
      </c>
    </row>
    <row r="702">
      <c r="A702" s="2" t="s">
        <v>1004</v>
      </c>
      <c r="B702" s="2" t="s">
        <v>434</v>
      </c>
      <c r="C702" s="2" t="s">
        <v>1007</v>
      </c>
      <c r="D702" s="3" t="str">
        <f>HYPERLINK("https://12go.asia/en/travel/hengshui/hohhot-east", "12Go Link")</f>
        <v>12Go Link</v>
      </c>
      <c r="E702" s="2" t="s">
        <v>77</v>
      </c>
    </row>
    <row r="703">
      <c r="A703" s="2" t="s">
        <v>1004</v>
      </c>
      <c r="B703" s="2" t="s">
        <v>436</v>
      </c>
      <c r="C703" s="2" t="s">
        <v>1008</v>
      </c>
      <c r="D703" s="3" t="str">
        <f>HYPERLINK("https://12go.asia/en/travel/hengshui/taian", "12Go Link")</f>
        <v>12Go Link</v>
      </c>
      <c r="E703" s="2" t="s">
        <v>77</v>
      </c>
    </row>
    <row r="704">
      <c r="A704" s="2" t="s">
        <v>1004</v>
      </c>
      <c r="B704" s="2" t="s">
        <v>400</v>
      </c>
      <c r="C704" s="2" t="s">
        <v>1009</v>
      </c>
      <c r="D704" s="3" t="str">
        <f>HYPERLINK("https://12go.asia/en/travel/hengshui/xinjiang", "12Go Link")</f>
        <v>12Go Link</v>
      </c>
      <c r="E704" s="2" t="s">
        <v>77</v>
      </c>
    </row>
    <row r="705">
      <c r="A705" s="2" t="s">
        <v>1010</v>
      </c>
      <c r="B705" s="2" t="s">
        <v>450</v>
      </c>
      <c r="C705" s="2" t="s">
        <v>1011</v>
      </c>
      <c r="D705" s="3" t="str">
        <f>HYPERLINK("https://12go.asia/en/travel/heyuan/jiangning", "12Go Link")</f>
        <v>12Go Link</v>
      </c>
      <c r="E705" s="2" t="s">
        <v>77</v>
      </c>
    </row>
    <row r="706">
      <c r="A706" s="2" t="s">
        <v>1010</v>
      </c>
      <c r="B706" s="2" t="s">
        <v>452</v>
      </c>
      <c r="C706" s="2" t="s">
        <v>1012</v>
      </c>
      <c r="D706" s="3" t="str">
        <f>HYPERLINK("https://12go.asia/en/travel/heyuan/jiangsu", "12Go Link")</f>
        <v>12Go Link</v>
      </c>
      <c r="E706" s="2" t="s">
        <v>77</v>
      </c>
    </row>
    <row r="707">
      <c r="A707" s="2" t="s">
        <v>1010</v>
      </c>
      <c r="B707" s="2" t="s">
        <v>1013</v>
      </c>
      <c r="C707" s="2" t="s">
        <v>1014</v>
      </c>
      <c r="D707" s="3" t="str">
        <f>HYPERLINK("https://12go.asia/en/travel/heyuan/taian-shandong", "12Go Link")</f>
        <v>12Go Link</v>
      </c>
      <c r="E707" s="2" t="s">
        <v>77</v>
      </c>
    </row>
    <row r="708">
      <c r="A708" s="2" t="s">
        <v>1010</v>
      </c>
      <c r="B708" s="2" t="s">
        <v>1013</v>
      </c>
      <c r="C708" s="2" t="s">
        <v>1015</v>
      </c>
      <c r="D708" s="3" t="str">
        <f>HYPERLINK("https://12go.asia/en/travel/heyuan/taishan-shandong", "12Go Link")</f>
        <v>12Go Link</v>
      </c>
      <c r="E708" s="2" t="s">
        <v>77</v>
      </c>
    </row>
    <row r="709">
      <c r="A709" s="2" t="s">
        <v>1010</v>
      </c>
      <c r="B709" s="2" t="s">
        <v>552</v>
      </c>
      <c r="C709" s="2" t="s">
        <v>1016</v>
      </c>
      <c r="D709" s="3" t="str">
        <f>HYPERLINK("https://12go.asia/en/travel/heyuan/tianjin", "12Go Link")</f>
        <v>12Go Link</v>
      </c>
      <c r="E709" s="2" t="s">
        <v>77</v>
      </c>
    </row>
    <row r="710">
      <c r="A710" s="2" t="s">
        <v>1010</v>
      </c>
      <c r="B710" s="2" t="s">
        <v>790</v>
      </c>
      <c r="C710" s="2" t="s">
        <v>1017</v>
      </c>
      <c r="D710" s="3" t="str">
        <f>HYPERLINK("https://12go.asia/en/travel/heyuan-east/xiamen-north", "12Go Link")</f>
        <v>12Go Link</v>
      </c>
      <c r="E710" s="2" t="s">
        <v>77</v>
      </c>
    </row>
    <row r="711">
      <c r="A711" s="2" t="s">
        <v>1010</v>
      </c>
      <c r="B711" s="2" t="s">
        <v>790</v>
      </c>
      <c r="C711" s="2" t="s">
        <v>1018</v>
      </c>
      <c r="D711" s="3" t="str">
        <f>HYPERLINK("https://12go.asia/en/travel/heyuan/xiamen", "12Go Link")</f>
        <v>12Go Link</v>
      </c>
      <c r="E711" s="2" t="s">
        <v>77</v>
      </c>
    </row>
    <row r="712">
      <c r="A712" s="2" t="s">
        <v>1019</v>
      </c>
      <c r="B712" s="2" t="s">
        <v>1020</v>
      </c>
      <c r="C712" s="2" t="s">
        <v>1021</v>
      </c>
      <c r="D712" s="3" t="str">
        <f>HYPERLINK("https://12go.asia/en/travel/heze/liuzhou", "12Go Link")</f>
        <v>12Go Link</v>
      </c>
      <c r="E712" s="2" t="s">
        <v>77</v>
      </c>
    </row>
    <row r="713">
      <c r="A713" s="2" t="s">
        <v>1019</v>
      </c>
      <c r="B713" s="2" t="s">
        <v>1022</v>
      </c>
      <c r="C713" s="2" t="s">
        <v>1023</v>
      </c>
      <c r="D713" s="3" t="str">
        <f>HYPERLINK("https://12go.asia/en/travel/heze-east-railway-station/xinyang-east", "12Go Link")</f>
        <v>12Go Link</v>
      </c>
      <c r="E713" s="2" t="s">
        <v>77</v>
      </c>
    </row>
    <row r="714">
      <c r="A714" s="2" t="s">
        <v>1019</v>
      </c>
      <c r="B714" s="2" t="s">
        <v>1022</v>
      </c>
      <c r="C714" s="2" t="s">
        <v>1024</v>
      </c>
      <c r="D714" s="3" t="str">
        <f>HYPERLINK("https://12go.asia/en/travel/heze/xinyang", "12Go Link")</f>
        <v>12Go Link</v>
      </c>
      <c r="E714" s="2" t="s">
        <v>77</v>
      </c>
    </row>
    <row r="715">
      <c r="A715" s="2" t="s">
        <v>480</v>
      </c>
      <c r="B715" s="2" t="s">
        <v>578</v>
      </c>
      <c r="C715" s="2" t="s">
        <v>1025</v>
      </c>
      <c r="D715" s="3" t="str">
        <f>HYPERLINK("https://12go.asia/en/travel/hezhou/changsha", "12Go Link")</f>
        <v>12Go Link</v>
      </c>
      <c r="E715" s="2" t="s">
        <v>77</v>
      </c>
    </row>
    <row r="716">
      <c r="A716" s="2" t="s">
        <v>480</v>
      </c>
      <c r="B716" s="2" t="s">
        <v>874</v>
      </c>
      <c r="C716" s="2" t="s">
        <v>1026</v>
      </c>
      <c r="D716" s="3" t="str">
        <f>HYPERLINK("https://12go.asia/en/travel/hezhou/hunan", "12Go Link")</f>
        <v>12Go Link</v>
      </c>
      <c r="E716" s="2" t="s">
        <v>77</v>
      </c>
    </row>
    <row r="717">
      <c r="A717" s="2" t="s">
        <v>480</v>
      </c>
      <c r="B717" s="2" t="s">
        <v>662</v>
      </c>
      <c r="C717" s="2" t="s">
        <v>1027</v>
      </c>
      <c r="D717" s="3" t="str">
        <f>HYPERLINK("https://12go.asia/en/travel/hezhou/tianxin", "12Go Link")</f>
        <v>12Go Link</v>
      </c>
      <c r="E717" s="2" t="s">
        <v>77</v>
      </c>
    </row>
    <row r="718">
      <c r="A718" s="2" t="s">
        <v>434</v>
      </c>
      <c r="B718" s="2" t="s">
        <v>408</v>
      </c>
      <c r="C718" s="2" t="s">
        <v>1028</v>
      </c>
      <c r="D718" s="3" t="str">
        <f>HYPERLINK("https://12go.asia/en/travel/hohhot-east/chengdu-east", "12Go Link")</f>
        <v>12Go Link</v>
      </c>
      <c r="E718" s="2" t="s">
        <v>77</v>
      </c>
    </row>
    <row r="719">
      <c r="A719" s="2" t="s">
        <v>434</v>
      </c>
      <c r="B719" s="2" t="s">
        <v>807</v>
      </c>
      <c r="C719" s="2" t="s">
        <v>1029</v>
      </c>
      <c r="D719" s="3" t="str">
        <f>HYPERLINK("https://12go.asia/en/travel/hohhot-east/jinan-east", "12Go Link")</f>
        <v>12Go Link</v>
      </c>
      <c r="E719" s="2" t="s">
        <v>77</v>
      </c>
    </row>
    <row r="720">
      <c r="A720" s="2" t="s">
        <v>434</v>
      </c>
      <c r="B720" s="2" t="s">
        <v>370</v>
      </c>
      <c r="C720" s="2" t="s">
        <v>1030</v>
      </c>
      <c r="D720" s="3" t="str">
        <f>HYPERLINK("https://12go.asia/en/travel/hohhot-east/lanzhou-west", "12Go Link")</f>
        <v>12Go Link</v>
      </c>
      <c r="E720" s="2" t="s">
        <v>77</v>
      </c>
    </row>
    <row r="721">
      <c r="A721" s="2" t="s">
        <v>434</v>
      </c>
      <c r="B721" s="2" t="s">
        <v>370</v>
      </c>
      <c r="C721" s="2" t="s">
        <v>1031</v>
      </c>
      <c r="D721" s="3" t="str">
        <f>HYPERLINK("https://12go.asia/en/travel/hohhot/lanzhou-west", "12Go Link")</f>
        <v>12Go Link</v>
      </c>
      <c r="E721" s="2" t="s">
        <v>77</v>
      </c>
    </row>
    <row r="722">
      <c r="A722" s="2" t="s">
        <v>434</v>
      </c>
      <c r="B722" s="2" t="s">
        <v>948</v>
      </c>
      <c r="C722" s="2" t="s">
        <v>1032</v>
      </c>
      <c r="D722" s="3" t="str">
        <f>HYPERLINK("https://12go.asia/en/travel/hohhot/qinghai", "12Go Link")</f>
        <v>12Go Link</v>
      </c>
      <c r="E722" s="2" t="s">
        <v>77</v>
      </c>
    </row>
    <row r="723">
      <c r="A723" s="2" t="s">
        <v>434</v>
      </c>
      <c r="B723" s="2" t="s">
        <v>420</v>
      </c>
      <c r="C723" s="2" t="s">
        <v>1033</v>
      </c>
      <c r="D723" s="3" t="str">
        <f>HYPERLINK("https://12go.asia/en/travel/hohhot-east/shanghai-songjiang", "12Go Link")</f>
        <v>12Go Link</v>
      </c>
      <c r="E723" s="2" t="s">
        <v>77</v>
      </c>
    </row>
    <row r="724">
      <c r="A724" s="2" t="s">
        <v>434</v>
      </c>
      <c r="B724" s="2" t="s">
        <v>420</v>
      </c>
      <c r="C724" s="2" t="s">
        <v>1034</v>
      </c>
      <c r="D724" s="3" t="str">
        <f>HYPERLINK("https://12go.asia/en/travel/hohhot/shanghai-songjiang", "12Go Link")</f>
        <v>12Go Link</v>
      </c>
      <c r="E724" s="2" t="s">
        <v>77</v>
      </c>
    </row>
    <row r="725">
      <c r="A725" s="2" t="s">
        <v>434</v>
      </c>
      <c r="B725" s="2" t="s">
        <v>420</v>
      </c>
      <c r="C725" s="2" t="s">
        <v>1035</v>
      </c>
      <c r="D725" s="3" t="str">
        <f>HYPERLINK("https://12go.asia/en/travel/hohhot/songjiang-shanghai", "12Go Link")</f>
        <v>12Go Link</v>
      </c>
      <c r="E725" s="2" t="s">
        <v>77</v>
      </c>
    </row>
    <row r="726">
      <c r="A726" s="2" t="s">
        <v>434</v>
      </c>
      <c r="B726" s="2" t="s">
        <v>423</v>
      </c>
      <c r="C726" s="2" t="s">
        <v>1036</v>
      </c>
      <c r="D726" s="3" t="str">
        <f>HYPERLINK("https://12go.asia/en/travel/hohhot-east/weifang", "12Go Link")</f>
        <v>12Go Link</v>
      </c>
      <c r="E726" s="2" t="s">
        <v>77</v>
      </c>
    </row>
    <row r="727">
      <c r="A727" s="2" t="s">
        <v>434</v>
      </c>
      <c r="B727" s="2" t="s">
        <v>423</v>
      </c>
      <c r="C727" s="2" t="s">
        <v>1037</v>
      </c>
      <c r="D727" s="3" t="str">
        <f>HYPERLINK("https://12go.asia/en/travel/hohhot/weifang", "12Go Link")</f>
        <v>12Go Link</v>
      </c>
      <c r="E727" s="2" t="s">
        <v>77</v>
      </c>
    </row>
    <row r="728">
      <c r="A728" s="2" t="s">
        <v>434</v>
      </c>
      <c r="B728" s="2" t="s">
        <v>427</v>
      </c>
      <c r="C728" s="2" t="s">
        <v>1038</v>
      </c>
      <c r="D728" s="3" t="str">
        <f>HYPERLINK("https://12go.asia/en/travel/hohhot-east/xining", "12Go Link")</f>
        <v>12Go Link</v>
      </c>
      <c r="E728" s="2" t="s">
        <v>77</v>
      </c>
    </row>
    <row r="729">
      <c r="A729" s="2" t="s">
        <v>434</v>
      </c>
      <c r="B729" s="2" t="s">
        <v>1039</v>
      </c>
      <c r="C729" s="2" t="s">
        <v>1040</v>
      </c>
      <c r="D729" s="3" t="str">
        <f>HYPERLINK("https://12go.asia/en/travel/hohhot-east/yuncheng-north", "12Go Link")</f>
        <v>12Go Link</v>
      </c>
      <c r="E729" s="2" t="s">
        <v>77</v>
      </c>
    </row>
    <row r="730">
      <c r="A730" s="2" t="s">
        <v>434</v>
      </c>
      <c r="B730" s="2" t="s">
        <v>1039</v>
      </c>
      <c r="C730" s="2" t="s">
        <v>1041</v>
      </c>
      <c r="D730" s="3" t="str">
        <f>HYPERLINK("https://12go.asia/en/travel/hohhot/yuncheng", "12Go Link")</f>
        <v>12Go Link</v>
      </c>
      <c r="E730" s="2" t="s">
        <v>77</v>
      </c>
    </row>
    <row r="731">
      <c r="A731" s="2" t="s">
        <v>434</v>
      </c>
      <c r="B731" s="2" t="s">
        <v>1039</v>
      </c>
      <c r="C731" s="2" t="s">
        <v>1042</v>
      </c>
      <c r="D731" s="3" t="str">
        <f>HYPERLINK("https://12go.asia/en/travel/hohhot/yuncheng-north", "12Go Link")</f>
        <v>12Go Link</v>
      </c>
      <c r="E731" s="2" t="s">
        <v>77</v>
      </c>
    </row>
    <row r="732">
      <c r="A732" s="2" t="s">
        <v>1043</v>
      </c>
      <c r="B732" s="2" t="s">
        <v>746</v>
      </c>
      <c r="C732" s="2" t="s">
        <v>1044</v>
      </c>
      <c r="D732" s="3" t="str">
        <f>HYPERLINK("https://12go.asia/en/travel/hong-kong-west-kowloon/hangzhou-west", "12Go Link")</f>
        <v>12Go Link</v>
      </c>
      <c r="E732" s="2" t="s">
        <v>77</v>
      </c>
    </row>
    <row r="733">
      <c r="A733" s="2" t="s">
        <v>1043</v>
      </c>
      <c r="B733" s="2" t="s">
        <v>645</v>
      </c>
      <c r="C733" s="2" t="s">
        <v>1045</v>
      </c>
      <c r="D733" s="3" t="str">
        <f>HYPERLINK("https://12go.asia/en/travel/hong-kong-west-kowloon/hebei", "12Go Link")</f>
        <v>12Go Link</v>
      </c>
      <c r="E733" s="2" t="s">
        <v>77</v>
      </c>
    </row>
    <row r="734">
      <c r="A734" s="2" t="s">
        <v>1043</v>
      </c>
      <c r="B734" s="2" t="s">
        <v>1046</v>
      </c>
      <c r="C734" s="2" t="s">
        <v>1047</v>
      </c>
      <c r="D734" s="3" t="str">
        <f>HYPERLINK("https://12go.asia/en/travel/hong-kong-west-kowloon/jishou", "12Go Link")</f>
        <v>12Go Link</v>
      </c>
      <c r="E734" s="2" t="s">
        <v>77</v>
      </c>
    </row>
    <row r="735">
      <c r="A735" s="2" t="s">
        <v>1043</v>
      </c>
      <c r="B735" s="2" t="s">
        <v>1046</v>
      </c>
      <c r="C735" s="2" t="s">
        <v>1048</v>
      </c>
      <c r="D735" s="3" t="str">
        <f>HYPERLINK("https://12go.asia/en/travel/hong-kong-west-kowloon/jishou-east", "12Go Link")</f>
        <v>12Go Link</v>
      </c>
      <c r="E735" s="2" t="s">
        <v>77</v>
      </c>
    </row>
    <row r="736">
      <c r="A736" s="2" t="s">
        <v>1043</v>
      </c>
      <c r="B736" s="2" t="s">
        <v>582</v>
      </c>
      <c r="C736" s="2" t="s">
        <v>1049</v>
      </c>
      <c r="D736" s="3" t="str">
        <f>HYPERLINK("https://12go.asia/en/travel/hong-kong-west-kowloon/meizhou", "12Go Link")</f>
        <v>12Go Link</v>
      </c>
      <c r="E736" s="2" t="s">
        <v>77</v>
      </c>
    </row>
    <row r="737">
      <c r="A737" s="2" t="s">
        <v>1043</v>
      </c>
      <c r="B737" s="2" t="s">
        <v>582</v>
      </c>
      <c r="C737" s="2" t="s">
        <v>1050</v>
      </c>
      <c r="D737" s="3" t="str">
        <f>HYPERLINK("https://12go.asia/en/travel/hong-kong-west-kowloon/meizhou-west", "12Go Link")</f>
        <v>12Go Link</v>
      </c>
      <c r="E737" s="2" t="s">
        <v>77</v>
      </c>
    </row>
    <row r="738">
      <c r="A738" s="2" t="s">
        <v>872</v>
      </c>
      <c r="B738" s="2" t="s">
        <v>650</v>
      </c>
      <c r="C738" s="2" t="s">
        <v>1051</v>
      </c>
      <c r="D738" s="3" t="str">
        <f>HYPERLINK("https://12go.asia/en/travel/jingzhou/wuhan-east", "12Go Link")</f>
        <v>12Go Link</v>
      </c>
      <c r="E738" s="2" t="s">
        <v>77</v>
      </c>
    </row>
    <row r="739">
      <c r="A739" s="2" t="s">
        <v>872</v>
      </c>
      <c r="B739" s="2" t="s">
        <v>1052</v>
      </c>
      <c r="C739" s="2" t="s">
        <v>1053</v>
      </c>
      <c r="D739" s="3" t="str">
        <f>HYPERLINK("https://12go.asia/en/travel/hubei/tianshui", "12Go Link")</f>
        <v>12Go Link</v>
      </c>
      <c r="E739" s="2" t="s">
        <v>77</v>
      </c>
    </row>
    <row r="740">
      <c r="A740" s="2" t="s">
        <v>872</v>
      </c>
      <c r="B740" s="2" t="s">
        <v>1052</v>
      </c>
      <c r="C740" s="2" t="s">
        <v>1054</v>
      </c>
      <c r="D740" s="3" t="str">
        <f>HYPERLINK("https://12go.asia/en/travel/xiaogan-north/tianshui-south", "12Go Link")</f>
        <v>12Go Link</v>
      </c>
      <c r="E740" s="2" t="s">
        <v>77</v>
      </c>
    </row>
    <row r="741">
      <c r="A741" s="2" t="s">
        <v>722</v>
      </c>
      <c r="B741" s="2" t="s">
        <v>951</v>
      </c>
      <c r="C741" s="2" t="s">
        <v>1055</v>
      </c>
      <c r="D741" s="3" t="str">
        <f>HYPERLINK("https://12go.asia/en/travel/huizhou/longyan", "12Go Link")</f>
        <v>12Go Link</v>
      </c>
      <c r="E741" s="2" t="s">
        <v>77</v>
      </c>
    </row>
    <row r="742">
      <c r="A742" s="2" t="s">
        <v>722</v>
      </c>
      <c r="B742" s="2" t="s">
        <v>786</v>
      </c>
      <c r="C742" s="2" t="s">
        <v>1056</v>
      </c>
      <c r="D742" s="3" t="str">
        <f>HYPERLINK("https://12go.asia/en/travel/huizhou-north/wenzhou-south", "12Go Link")</f>
        <v>12Go Link</v>
      </c>
      <c r="E742" s="2" t="s">
        <v>77</v>
      </c>
    </row>
    <row r="743">
      <c r="A743" s="2" t="s">
        <v>722</v>
      </c>
      <c r="B743" s="2" t="s">
        <v>786</v>
      </c>
      <c r="C743" s="2" t="s">
        <v>1057</v>
      </c>
      <c r="D743" s="3" t="str">
        <f>HYPERLINK("https://12go.asia/en/travel/huizhou-north/yueqing-east", "12Go Link")</f>
        <v>12Go Link</v>
      </c>
      <c r="E743" s="2" t="s">
        <v>77</v>
      </c>
    </row>
    <row r="744">
      <c r="A744" s="2" t="s">
        <v>1058</v>
      </c>
      <c r="B744" s="2" t="s">
        <v>412</v>
      </c>
      <c r="C744" s="2" t="s">
        <v>1059</v>
      </c>
      <c r="D744" s="3" t="str">
        <f>HYPERLINK("https://12go.asia/en/travel/inner-mongolia/gaocheng", "12Go Link")</f>
        <v>12Go Link</v>
      </c>
      <c r="E744" s="2" t="s">
        <v>77</v>
      </c>
    </row>
    <row r="745">
      <c r="A745" s="2" t="s">
        <v>1058</v>
      </c>
      <c r="B745" s="2" t="s">
        <v>948</v>
      </c>
      <c r="C745" s="2" t="s">
        <v>1060</v>
      </c>
      <c r="D745" s="3" t="str">
        <f>HYPERLINK("https://12go.asia/en/travel/inner-mongolia/qinghai", "12Go Link")</f>
        <v>12Go Link</v>
      </c>
      <c r="E745" s="2" t="s">
        <v>77</v>
      </c>
    </row>
    <row r="746">
      <c r="A746" s="2" t="s">
        <v>1058</v>
      </c>
      <c r="B746" s="2" t="s">
        <v>465</v>
      </c>
      <c r="C746" s="2" t="s">
        <v>1061</v>
      </c>
      <c r="D746" s="3" t="str">
        <f>HYPERLINK("https://12go.asia/en/travel/inner-mongolia/shuangliu", "12Go Link")</f>
        <v>12Go Link</v>
      </c>
      <c r="E746" s="2" t="s">
        <v>77</v>
      </c>
    </row>
    <row r="747">
      <c r="A747" s="2" t="s">
        <v>1058</v>
      </c>
      <c r="B747" s="2" t="s">
        <v>420</v>
      </c>
      <c r="C747" s="2" t="s">
        <v>1062</v>
      </c>
      <c r="D747" s="3" t="str">
        <f>HYPERLINK("https://12go.asia/en/travel/inner-mongolia/songjiang-shanghai", "12Go Link")</f>
        <v>12Go Link</v>
      </c>
      <c r="E747" s="2" t="s">
        <v>77</v>
      </c>
    </row>
    <row r="748">
      <c r="A748" s="2" t="s">
        <v>1058</v>
      </c>
      <c r="B748" s="2" t="s">
        <v>423</v>
      </c>
      <c r="C748" s="2" t="s">
        <v>1063</v>
      </c>
      <c r="D748" s="3" t="str">
        <f>HYPERLINK("https://12go.asia/en/travel/inner-mongolia/weifang", "12Go Link")</f>
        <v>12Go Link</v>
      </c>
      <c r="E748" s="2" t="s">
        <v>77</v>
      </c>
    </row>
    <row r="749">
      <c r="A749" s="2" t="s">
        <v>1058</v>
      </c>
      <c r="B749" s="2" t="s">
        <v>467</v>
      </c>
      <c r="C749" s="2" t="s">
        <v>1064</v>
      </c>
      <c r="D749" s="3" t="str">
        <f>HYPERLINK("https://12go.asia/en/travel/inner-mongolia/wenjiang", "12Go Link")</f>
        <v>12Go Link</v>
      </c>
      <c r="E749" s="2" t="s">
        <v>77</v>
      </c>
    </row>
    <row r="750">
      <c r="A750" s="2" t="s">
        <v>672</v>
      </c>
      <c r="B750" s="2" t="s">
        <v>408</v>
      </c>
      <c r="C750" s="2" t="s">
        <v>1065</v>
      </c>
      <c r="D750" s="3" t="str">
        <f>HYPERLINK("https://12go.asia/en/travel/jiamusi/chengdu-west", "12Go Link")</f>
        <v>12Go Link</v>
      </c>
      <c r="E750" s="2" t="s">
        <v>77</v>
      </c>
    </row>
    <row r="751">
      <c r="A751" s="2" t="s">
        <v>672</v>
      </c>
      <c r="B751" s="2" t="s">
        <v>448</v>
      </c>
      <c r="C751" s="2" t="s">
        <v>1066</v>
      </c>
      <c r="D751" s="3" t="str">
        <f>HYPERLINK("https://12go.asia/en/travel/jiamusi/huludao", "12Go Link")</f>
        <v>12Go Link</v>
      </c>
      <c r="E751" s="2" t="s">
        <v>77</v>
      </c>
    </row>
    <row r="752">
      <c r="A752" s="2" t="s">
        <v>672</v>
      </c>
      <c r="B752" s="2" t="s">
        <v>465</v>
      </c>
      <c r="C752" s="2" t="s">
        <v>1067</v>
      </c>
      <c r="D752" s="3" t="str">
        <f>HYPERLINK("https://12go.asia/en/travel/jiamusi/shuangliu", "12Go Link")</f>
        <v>12Go Link</v>
      </c>
      <c r="E752" s="2" t="s">
        <v>77</v>
      </c>
    </row>
    <row r="753">
      <c r="A753" s="2" t="s">
        <v>672</v>
      </c>
      <c r="B753" s="2" t="s">
        <v>388</v>
      </c>
      <c r="C753" s="2" t="s">
        <v>1068</v>
      </c>
      <c r="D753" s="3" t="str">
        <f>HYPERLINK("https://12go.asia/en/travel/jiamusi/beijing-chaoyang", "12Go Link")</f>
        <v>12Go Link</v>
      </c>
      <c r="E753" s="2" t="s">
        <v>77</v>
      </c>
    </row>
    <row r="754">
      <c r="A754" s="2" t="s">
        <v>672</v>
      </c>
      <c r="B754" s="2" t="s">
        <v>388</v>
      </c>
      <c r="C754" s="2" t="s">
        <v>1069</v>
      </c>
      <c r="D754" s="3" t="str">
        <f>HYPERLINK("https://12go.asia/en/travel/jiamusi/tacheng", "12Go Link")</f>
        <v>12Go Link</v>
      </c>
      <c r="E754" s="2" t="s">
        <v>77</v>
      </c>
    </row>
    <row r="755">
      <c r="A755" s="2" t="s">
        <v>672</v>
      </c>
      <c r="B755" s="2" t="s">
        <v>423</v>
      </c>
      <c r="C755" s="2" t="s">
        <v>1070</v>
      </c>
      <c r="D755" s="3" t="str">
        <f>HYPERLINK("https://12go.asia/en/travel/jiamusi/weifang", "12Go Link")</f>
        <v>12Go Link</v>
      </c>
      <c r="E755" s="2" t="s">
        <v>77</v>
      </c>
    </row>
    <row r="756">
      <c r="A756" s="2" t="s">
        <v>1071</v>
      </c>
      <c r="B756" s="2" t="s">
        <v>834</v>
      </c>
      <c r="C756" s="2" t="s">
        <v>1072</v>
      </c>
      <c r="D756" s="3" t="str">
        <f>HYPERLINK("https://12go.asia/en/travel/jian-jiangxi/fuyang", "12Go Link")</f>
        <v>12Go Link</v>
      </c>
      <c r="E756" s="2" t="s">
        <v>77</v>
      </c>
    </row>
    <row r="757">
      <c r="A757" s="2" t="s">
        <v>1071</v>
      </c>
      <c r="B757" s="2" t="s">
        <v>854</v>
      </c>
      <c r="C757" s="2" t="s">
        <v>1073</v>
      </c>
      <c r="D757" s="3" t="str">
        <f>HYPERLINK("https://12go.asia/en/travel/jian-jiangxi/fuyang-anhui", "12Go Link")</f>
        <v>12Go Link</v>
      </c>
      <c r="E757" s="2" t="s">
        <v>77</v>
      </c>
    </row>
    <row r="758">
      <c r="A758" s="2" t="s">
        <v>724</v>
      </c>
      <c r="B758" s="2" t="s">
        <v>951</v>
      </c>
      <c r="C758" s="2" t="s">
        <v>1074</v>
      </c>
      <c r="D758" s="3" t="str">
        <f>HYPERLINK("https://12go.asia/en/travel/jiangbei/longyan", "12Go Link")</f>
        <v>12Go Link</v>
      </c>
      <c r="E758" s="2" t="s">
        <v>77</v>
      </c>
    </row>
    <row r="759">
      <c r="A759" s="2" t="s">
        <v>724</v>
      </c>
      <c r="B759" s="2" t="s">
        <v>1075</v>
      </c>
      <c r="C759" s="2" t="s">
        <v>1076</v>
      </c>
      <c r="D759" s="3" t="str">
        <f>HYPERLINK("https://12go.asia/en/travel/jiangbei/panyu", "12Go Link")</f>
        <v>12Go Link</v>
      </c>
      <c r="E759" s="2" t="s">
        <v>77</v>
      </c>
    </row>
    <row r="760">
      <c r="A760" s="2" t="s">
        <v>724</v>
      </c>
      <c r="B760" s="2" t="s">
        <v>1075</v>
      </c>
      <c r="C760" s="2" t="s">
        <v>1077</v>
      </c>
      <c r="D760" s="3" t="str">
        <f>HYPERLINK("https://12go.asia/en/travel/lilinbei/panyu", "12Go Link")</f>
        <v>12Go Link</v>
      </c>
      <c r="E760" s="2" t="s">
        <v>77</v>
      </c>
    </row>
    <row r="761">
      <c r="A761" s="2" t="s">
        <v>724</v>
      </c>
      <c r="B761" s="2" t="s">
        <v>1075</v>
      </c>
      <c r="C761" s="2" t="s">
        <v>1078</v>
      </c>
      <c r="D761" s="3" t="str">
        <f>HYPERLINK("https://12go.asia/en/travel/longfeng/panyu", "12Go Link")</f>
        <v>12Go Link</v>
      </c>
      <c r="E761" s="2" t="s">
        <v>77</v>
      </c>
    </row>
    <row r="762">
      <c r="A762" s="2" t="s">
        <v>724</v>
      </c>
      <c r="B762" s="2" t="s">
        <v>1075</v>
      </c>
      <c r="C762" s="2" t="s">
        <v>1079</v>
      </c>
      <c r="D762" s="3" t="str">
        <f>HYPERLINK("https://12go.asia/en/travel/yunshan/panyu", "12Go Link")</f>
        <v>12Go Link</v>
      </c>
      <c r="E762" s="2" t="s">
        <v>77</v>
      </c>
    </row>
    <row r="763">
      <c r="A763" s="2" t="s">
        <v>724</v>
      </c>
      <c r="B763" s="2" t="s">
        <v>461</v>
      </c>
      <c r="C763" s="2" t="s">
        <v>1080</v>
      </c>
      <c r="D763" s="3" t="str">
        <f>HYPERLINK("https://12go.asia/en/travel/zhongkai/shanghai-hongqiao-airport", "12Go Link")</f>
        <v>12Go Link</v>
      </c>
      <c r="E763" s="2" t="s">
        <v>77</v>
      </c>
    </row>
    <row r="764">
      <c r="A764" s="2" t="s">
        <v>724</v>
      </c>
      <c r="B764" s="2" t="s">
        <v>814</v>
      </c>
      <c r="C764" s="2" t="s">
        <v>1081</v>
      </c>
      <c r="D764" s="3" t="str">
        <f>HYPERLINK("https://12go.asia/en/travel/zhongkai/suzhou", "12Go Link")</f>
        <v>12Go Link</v>
      </c>
      <c r="E764" s="2" t="s">
        <v>77</v>
      </c>
    </row>
    <row r="765">
      <c r="A765" s="2" t="s">
        <v>726</v>
      </c>
      <c r="B765" s="2" t="s">
        <v>951</v>
      </c>
      <c r="C765" s="2" t="s">
        <v>1082</v>
      </c>
      <c r="D765" s="3" t="str">
        <f>HYPERLINK("https://12go.asia/en/travel/jiangjin/longyan", "12Go Link")</f>
        <v>12Go Link</v>
      </c>
      <c r="E765" s="2" t="s">
        <v>77</v>
      </c>
    </row>
    <row r="766">
      <c r="A766" s="2" t="s">
        <v>726</v>
      </c>
      <c r="B766" s="2" t="s">
        <v>1075</v>
      </c>
      <c r="C766" s="2" t="s">
        <v>1083</v>
      </c>
      <c r="D766" s="3" t="str">
        <f>HYPERLINK("https://12go.asia/en/travel/jiangjin/panyu", "12Go Link")</f>
        <v>12Go Link</v>
      </c>
      <c r="E766" s="2" t="s">
        <v>77</v>
      </c>
    </row>
    <row r="767">
      <c r="A767" s="2" t="s">
        <v>1084</v>
      </c>
      <c r="B767" s="2" t="s">
        <v>702</v>
      </c>
      <c r="C767" s="2" t="s">
        <v>1085</v>
      </c>
      <c r="D767" s="3" t="str">
        <f>HYPERLINK("https://12go.asia/en/travel/jiangmen/humen", "12Go Link")</f>
        <v>12Go Link</v>
      </c>
      <c r="E767" s="2" t="s">
        <v>77</v>
      </c>
    </row>
    <row r="768">
      <c r="A768" s="2" t="s">
        <v>1084</v>
      </c>
      <c r="B768" s="2" t="s">
        <v>702</v>
      </c>
      <c r="C768" s="2" t="s">
        <v>1086</v>
      </c>
      <c r="D768" s="3" t="str">
        <f>HYPERLINK("https://12go.asia/en/travel/jiangmen/humen-town", "12Go Link")</f>
        <v>12Go Link</v>
      </c>
      <c r="E768" s="2" t="s">
        <v>77</v>
      </c>
    </row>
    <row r="769">
      <c r="A769" s="2" t="s">
        <v>450</v>
      </c>
      <c r="B769" s="2" t="s">
        <v>1087</v>
      </c>
      <c r="C769" s="2" t="s">
        <v>1088</v>
      </c>
      <c r="D769" s="3" t="str">
        <f>HYPERLINK("https://12go.asia/en/travel/jiangning/jiaxing", "12Go Link")</f>
        <v>12Go Link</v>
      </c>
      <c r="E769" s="2" t="s">
        <v>77</v>
      </c>
    </row>
    <row r="770">
      <c r="A770" s="2" t="s">
        <v>450</v>
      </c>
      <c r="B770" s="2" t="s">
        <v>511</v>
      </c>
      <c r="C770" s="2" t="s">
        <v>1089</v>
      </c>
      <c r="D770" s="3" t="str">
        <f>HYPERLINK("https://12go.asia/en/travel/jiangning/pingyao", "12Go Link")</f>
        <v>12Go Link</v>
      </c>
      <c r="E770" s="2" t="s">
        <v>77</v>
      </c>
    </row>
    <row r="771">
      <c r="A771" s="2" t="s">
        <v>450</v>
      </c>
      <c r="B771" s="2" t="s">
        <v>381</v>
      </c>
      <c r="C771" s="2" t="s">
        <v>1090</v>
      </c>
      <c r="D771" s="3" t="str">
        <f>HYPERLINK("https://12go.asia/en/travel/jiangning/pujiangzhen", "12Go Link")</f>
        <v>12Go Link</v>
      </c>
      <c r="E771" s="2" t="s">
        <v>77</v>
      </c>
    </row>
    <row r="772">
      <c r="A772" s="2" t="s">
        <v>450</v>
      </c>
      <c r="B772" s="2" t="s">
        <v>575</v>
      </c>
      <c r="C772" s="2" t="s">
        <v>1091</v>
      </c>
      <c r="D772" s="3" t="str">
        <f>HYPERLINK("https://12go.asia/en/travel/jiangning/zhangjiagang", "12Go Link")</f>
        <v>12Go Link</v>
      </c>
      <c r="E772" s="2" t="s">
        <v>77</v>
      </c>
    </row>
    <row r="773">
      <c r="A773" s="2" t="s">
        <v>450</v>
      </c>
      <c r="B773" s="2" t="s">
        <v>993</v>
      </c>
      <c r="C773" s="2" t="s">
        <v>1092</v>
      </c>
      <c r="D773" s="3" t="str">
        <f>HYPERLINK("https://12go.asia/en/travel/jiangning/zibo", "12Go Link")</f>
        <v>12Go Link</v>
      </c>
      <c r="E773" s="2" t="s">
        <v>77</v>
      </c>
    </row>
    <row r="774">
      <c r="A774" s="2" t="s">
        <v>452</v>
      </c>
      <c r="B774" s="2" t="s">
        <v>1093</v>
      </c>
      <c r="C774" s="2" t="s">
        <v>1094</v>
      </c>
      <c r="D774" s="3" t="str">
        <f>HYPERLINK("https://12go.asia/en/travel/jiangsu/loudi", "12Go Link")</f>
        <v>12Go Link</v>
      </c>
      <c r="E774" s="2" t="s">
        <v>77</v>
      </c>
    </row>
    <row r="775">
      <c r="A775" s="2" t="s">
        <v>452</v>
      </c>
      <c r="B775" s="2" t="s">
        <v>511</v>
      </c>
      <c r="C775" s="2" t="s">
        <v>1095</v>
      </c>
      <c r="D775" s="3" t="str">
        <f>HYPERLINK("https://12go.asia/en/travel/jiangsu/pingyao", "12Go Link")</f>
        <v>12Go Link</v>
      </c>
      <c r="E775" s="2" t="s">
        <v>77</v>
      </c>
    </row>
    <row r="776">
      <c r="A776" s="2" t="s">
        <v>452</v>
      </c>
      <c r="B776" s="2" t="s">
        <v>575</v>
      </c>
      <c r="C776" s="2" t="s">
        <v>1096</v>
      </c>
      <c r="D776" s="3" t="str">
        <f>HYPERLINK("https://12go.asia/en/travel/jiangsu/zhangjiagang", "12Go Link")</f>
        <v>12Go Link</v>
      </c>
      <c r="E776" s="2" t="s">
        <v>77</v>
      </c>
    </row>
    <row r="777">
      <c r="A777" s="2" t="s">
        <v>759</v>
      </c>
      <c r="B777" s="2" t="s">
        <v>439</v>
      </c>
      <c r="C777" s="2" t="s">
        <v>1097</v>
      </c>
      <c r="D777" s="3" t="str">
        <f>HYPERLINK("https://12go.asia/en/travel/jiangxi/binhai", "12Go Link")</f>
        <v>12Go Link</v>
      </c>
      <c r="E777" s="2" t="s">
        <v>77</v>
      </c>
    </row>
    <row r="778">
      <c r="A778" s="2" t="s">
        <v>759</v>
      </c>
      <c r="B778" s="2" t="s">
        <v>378</v>
      </c>
      <c r="C778" s="2" t="s">
        <v>1098</v>
      </c>
      <c r="D778" s="3" t="str">
        <f>HYPERLINK("https://12go.asia/en/travel/jiangxi/xunxian", "12Go Link")</f>
        <v>12Go Link</v>
      </c>
      <c r="E778" s="2" t="s">
        <v>77</v>
      </c>
    </row>
    <row r="779">
      <c r="A779" s="2" t="s">
        <v>728</v>
      </c>
      <c r="B779" s="2" t="s">
        <v>1019</v>
      </c>
      <c r="C779" s="2" t="s">
        <v>1099</v>
      </c>
      <c r="D779" s="3" t="str">
        <f>HYPERLINK("https://12go.asia/en/travel/jiangxia/heze", "12Go Link")</f>
        <v>12Go Link</v>
      </c>
      <c r="E779" s="2" t="s">
        <v>77</v>
      </c>
    </row>
    <row r="780">
      <c r="A780" s="2" t="s">
        <v>728</v>
      </c>
      <c r="B780" s="2" t="s">
        <v>759</v>
      </c>
      <c r="C780" s="2" t="s">
        <v>1100</v>
      </c>
      <c r="D780" s="3" t="str">
        <f>HYPERLINK("https://12go.asia/en/travel/jiangxia/jiangxi", "12Go Link")</f>
        <v>12Go Link</v>
      </c>
      <c r="E780" s="2" t="s">
        <v>77</v>
      </c>
    </row>
    <row r="781">
      <c r="A781" s="2" t="s">
        <v>728</v>
      </c>
      <c r="B781" s="2" t="s">
        <v>951</v>
      </c>
      <c r="C781" s="2" t="s">
        <v>1101</v>
      </c>
      <c r="D781" s="3" t="str">
        <f>HYPERLINK("https://12go.asia/en/travel/jiangxia/longyan", "12Go Link")</f>
        <v>12Go Link</v>
      </c>
      <c r="E781" s="2" t="s">
        <v>77</v>
      </c>
    </row>
    <row r="782">
      <c r="A782" s="2" t="s">
        <v>728</v>
      </c>
      <c r="B782" s="2" t="s">
        <v>461</v>
      </c>
      <c r="C782" s="2" t="s">
        <v>1102</v>
      </c>
      <c r="D782" s="3" t="str">
        <f>HYPERLINK("https://12go.asia/en/travel/jiangxia/shanghai-hongqiao-airport", "12Go Link")</f>
        <v>12Go Link</v>
      </c>
      <c r="E782" s="2" t="s">
        <v>77</v>
      </c>
    </row>
    <row r="783">
      <c r="A783" s="2" t="s">
        <v>728</v>
      </c>
      <c r="B783" s="2" t="s">
        <v>814</v>
      </c>
      <c r="C783" s="2" t="s">
        <v>1103</v>
      </c>
      <c r="D783" s="3" t="str">
        <f>HYPERLINK("https://12go.asia/en/travel/jiangxia/suzhou", "12Go Link")</f>
        <v>12Go Link</v>
      </c>
      <c r="E783" s="2" t="s">
        <v>77</v>
      </c>
    </row>
    <row r="784">
      <c r="A784" s="2" t="s">
        <v>728</v>
      </c>
      <c r="B784" s="2" t="s">
        <v>786</v>
      </c>
      <c r="C784" s="2" t="s">
        <v>1104</v>
      </c>
      <c r="D784" s="3" t="str">
        <f>HYPERLINK("https://12go.asia/en/travel/jiangxia/wenzhou", "12Go Link")</f>
        <v>12Go Link</v>
      </c>
      <c r="E784" s="2" t="s">
        <v>77</v>
      </c>
    </row>
    <row r="785">
      <c r="A785" s="2" t="s">
        <v>730</v>
      </c>
      <c r="B785" s="2" t="s">
        <v>1019</v>
      </c>
      <c r="C785" s="2" t="s">
        <v>1105</v>
      </c>
      <c r="D785" s="3" t="str">
        <f>HYPERLINK("https://12go.asia/en/travel/jiangyuan/heze", "12Go Link")</f>
        <v>12Go Link</v>
      </c>
      <c r="E785" s="2" t="s">
        <v>77</v>
      </c>
    </row>
    <row r="786">
      <c r="A786" s="2" t="s">
        <v>730</v>
      </c>
      <c r="B786" s="2" t="s">
        <v>759</v>
      </c>
      <c r="C786" s="2" t="s">
        <v>1106</v>
      </c>
      <c r="D786" s="3" t="str">
        <f>HYPERLINK("https://12go.asia/en/travel/jiangyuan/jiangxi", "12Go Link")</f>
        <v>12Go Link</v>
      </c>
      <c r="E786" s="2" t="s">
        <v>77</v>
      </c>
    </row>
    <row r="787">
      <c r="A787" s="2" t="s">
        <v>730</v>
      </c>
      <c r="B787" s="2" t="s">
        <v>951</v>
      </c>
      <c r="C787" s="2" t="s">
        <v>1107</v>
      </c>
      <c r="D787" s="3" t="str">
        <f>HYPERLINK("https://12go.asia/en/travel/jiangyuan/longyan", "12Go Link")</f>
        <v>12Go Link</v>
      </c>
      <c r="E787" s="2" t="s">
        <v>77</v>
      </c>
    </row>
    <row r="788">
      <c r="A788" s="2" t="s">
        <v>730</v>
      </c>
      <c r="B788" s="2" t="s">
        <v>461</v>
      </c>
      <c r="C788" s="2" t="s">
        <v>1108</v>
      </c>
      <c r="D788" s="3" t="str">
        <f>HYPERLINK("https://12go.asia/en/travel/jiangyuan/shanghai-hongqiao-airport", "12Go Link")</f>
        <v>12Go Link</v>
      </c>
      <c r="E788" s="2" t="s">
        <v>77</v>
      </c>
    </row>
    <row r="789">
      <c r="A789" s="2" t="s">
        <v>730</v>
      </c>
      <c r="B789" s="2" t="s">
        <v>420</v>
      </c>
      <c r="C789" s="2" t="s">
        <v>1109</v>
      </c>
      <c r="D789" s="3" t="str">
        <f>HYPERLINK("https://12go.asia/en/travel/jiangyuan/songjiang-shanghai", "12Go Link")</f>
        <v>12Go Link</v>
      </c>
      <c r="E789" s="2" t="s">
        <v>77</v>
      </c>
    </row>
    <row r="790">
      <c r="A790" s="2" t="s">
        <v>730</v>
      </c>
      <c r="B790" s="2" t="s">
        <v>786</v>
      </c>
      <c r="C790" s="2" t="s">
        <v>1110</v>
      </c>
      <c r="D790" s="3" t="str">
        <f>HYPERLINK("https://12go.asia/en/travel/jiangyuan/wenzhou", "12Go Link")</f>
        <v>12Go Link</v>
      </c>
      <c r="E790" s="2" t="s">
        <v>77</v>
      </c>
    </row>
    <row r="791">
      <c r="A791" s="2" t="s">
        <v>648</v>
      </c>
      <c r="B791" s="2" t="s">
        <v>736</v>
      </c>
      <c r="C791" s="2" t="s">
        <v>1111</v>
      </c>
      <c r="D791" s="3" t="str">
        <f>HYPERLINK("https://12go.asia/en/travel/jiangzhou/funing", "12Go Link")</f>
        <v>12Go Link</v>
      </c>
      <c r="E791" s="2" t="s">
        <v>77</v>
      </c>
    </row>
    <row r="792">
      <c r="A792" s="2" t="s">
        <v>648</v>
      </c>
      <c r="B792" s="2" t="s">
        <v>685</v>
      </c>
      <c r="C792" s="2" t="s">
        <v>1112</v>
      </c>
      <c r="D792" s="3" t="str">
        <f>HYPERLINK("https://12go.asia/en/travel/jiangzhou/fusui", "12Go Link")</f>
        <v>12Go Link</v>
      </c>
      <c r="E792" s="2" t="s">
        <v>77</v>
      </c>
    </row>
    <row r="793">
      <c r="A793" s="2" t="s">
        <v>648</v>
      </c>
      <c r="B793" s="2" t="s">
        <v>1113</v>
      </c>
      <c r="C793" s="2" t="s">
        <v>1114</v>
      </c>
      <c r="D793" s="3" t="str">
        <f>HYPERLINK("https://12go.asia/en/travel/jiangzhou/hong-kong-island", "12Go Link")</f>
        <v>12Go Link</v>
      </c>
      <c r="E793" s="2" t="s">
        <v>77</v>
      </c>
    </row>
    <row r="794">
      <c r="A794" s="2" t="s">
        <v>648</v>
      </c>
      <c r="B794" s="2" t="s">
        <v>1043</v>
      </c>
      <c r="C794" s="2" t="s">
        <v>1115</v>
      </c>
      <c r="D794" s="3" t="str">
        <f>HYPERLINK("https://12go.asia/en/travel/jiangzhou/hong-kong-west-kowloon", "12Go Link")</f>
        <v>12Go Link</v>
      </c>
      <c r="E794" s="2" t="s">
        <v>77</v>
      </c>
    </row>
    <row r="795">
      <c r="A795" s="2" t="s">
        <v>648</v>
      </c>
      <c r="B795" s="2" t="s">
        <v>595</v>
      </c>
      <c r="C795" s="2" t="s">
        <v>1116</v>
      </c>
      <c r="D795" s="3" t="str">
        <f>HYPERLINK("https://12go.asia/en/travel/jiangzhou/huaihua", "12Go Link")</f>
        <v>12Go Link</v>
      </c>
      <c r="E795" s="2" t="s">
        <v>77</v>
      </c>
    </row>
    <row r="796">
      <c r="A796" s="2" t="s">
        <v>648</v>
      </c>
      <c r="B796" s="2" t="s">
        <v>499</v>
      </c>
      <c r="C796" s="2" t="s">
        <v>1117</v>
      </c>
      <c r="D796" s="3" t="str">
        <f>HYPERLINK("https://12go.asia/en/travel/jiangzhou/huairen-county", "12Go Link")</f>
        <v>12Go Link</v>
      </c>
      <c r="E796" s="2" t="s">
        <v>77</v>
      </c>
    </row>
    <row r="797">
      <c r="A797" s="2" t="s">
        <v>648</v>
      </c>
      <c r="B797" s="2" t="s">
        <v>780</v>
      </c>
      <c r="C797" s="2" t="s">
        <v>1118</v>
      </c>
      <c r="D797" s="3" t="str">
        <f>HYPERLINK("https://12go.asia/en/travel/jiangzhou/shangrao", "12Go Link")</f>
        <v>12Go Link</v>
      </c>
      <c r="E797" s="2" t="s">
        <v>77</v>
      </c>
    </row>
    <row r="798">
      <c r="A798" s="2" t="s">
        <v>648</v>
      </c>
      <c r="B798" s="2" t="s">
        <v>420</v>
      </c>
      <c r="C798" s="2" t="s">
        <v>1119</v>
      </c>
      <c r="D798" s="3" t="str">
        <f>HYPERLINK("https://12go.asia/en/travel/jiangzhou/songjiang-shanghai", "12Go Link")</f>
        <v>12Go Link</v>
      </c>
      <c r="E798" s="2" t="s">
        <v>77</v>
      </c>
    </row>
    <row r="799">
      <c r="A799" s="2" t="s">
        <v>648</v>
      </c>
      <c r="B799" s="2" t="s">
        <v>1002</v>
      </c>
      <c r="C799" s="2" t="s">
        <v>1120</v>
      </c>
      <c r="D799" s="3" t="str">
        <f>HYPERLINK("https://12go.asia/en/travel/jiangzhou/yulin-guangxi", "12Go Link")</f>
        <v>12Go Link</v>
      </c>
      <c r="E799" s="2" t="s">
        <v>77</v>
      </c>
    </row>
    <row r="800">
      <c r="A800" s="2" t="s">
        <v>648</v>
      </c>
      <c r="B800" s="2" t="s">
        <v>575</v>
      </c>
      <c r="C800" s="2" t="s">
        <v>1121</v>
      </c>
      <c r="D800" s="3" t="str">
        <f>HYPERLINK("https://12go.asia/en/travel/jiangzhou/zhangjiagang", "12Go Link")</f>
        <v>12Go Link</v>
      </c>
      <c r="E800" s="2" t="s">
        <v>77</v>
      </c>
    </row>
    <row r="801">
      <c r="A801" s="2" t="s">
        <v>648</v>
      </c>
      <c r="B801" s="2" t="s">
        <v>1122</v>
      </c>
      <c r="C801" s="2" t="s">
        <v>1123</v>
      </c>
      <c r="D801" s="3" t="str">
        <f>HYPERLINK("https://12go.asia/en/travel/jiangzhou/hong-kong", "12Go Link")</f>
        <v>12Go Link</v>
      </c>
      <c r="E801" s="2" t="s">
        <v>77</v>
      </c>
    </row>
    <row r="802">
      <c r="A802" s="2" t="s">
        <v>1124</v>
      </c>
      <c r="B802" s="2" t="s">
        <v>461</v>
      </c>
      <c r="C802" s="2" t="s">
        <v>1125</v>
      </c>
      <c r="D802" s="3" t="str">
        <f>HYPERLINK("https://12go.asia/en/travel/jianou-west/shanghai-hongqiao-airport", "12Go Link")</f>
        <v>12Go Link</v>
      </c>
      <c r="E802" s="2" t="s">
        <v>77</v>
      </c>
    </row>
    <row r="803">
      <c r="A803" s="2" t="s">
        <v>1124</v>
      </c>
      <c r="B803" s="2" t="s">
        <v>461</v>
      </c>
      <c r="C803" s="2" t="s">
        <v>1126</v>
      </c>
      <c r="D803" s="3" t="str">
        <f>HYPERLINK("https://12go.asia/en/travel/jianou/shanghai-hongqiao-airport", "12Go Link")</f>
        <v>12Go Link</v>
      </c>
      <c r="E803" s="2" t="s">
        <v>77</v>
      </c>
    </row>
    <row r="804">
      <c r="A804" s="2" t="s">
        <v>650</v>
      </c>
      <c r="B804" s="2" t="s">
        <v>620</v>
      </c>
      <c r="C804" s="2" t="s">
        <v>1127</v>
      </c>
      <c r="D804" s="3" t="str">
        <f>HYPERLINK("https://12go.asia/en/travel/jiaocheng/chengdu-tianfu-airport", "12Go Link")</f>
        <v>12Go Link</v>
      </c>
      <c r="E804" s="2" t="s">
        <v>77</v>
      </c>
    </row>
    <row r="805">
      <c r="A805" s="2" t="s">
        <v>650</v>
      </c>
      <c r="B805" s="2" t="s">
        <v>1128</v>
      </c>
      <c r="C805" s="2" t="s">
        <v>1129</v>
      </c>
      <c r="D805" s="3" t="str">
        <f>HYPERLINK("https://12go.asia/en/travel/jiaocheng/datong", "12Go Link")</f>
        <v>12Go Link</v>
      </c>
      <c r="E805" s="2" t="s">
        <v>77</v>
      </c>
    </row>
    <row r="806">
      <c r="A806" s="2" t="s">
        <v>650</v>
      </c>
      <c r="B806" s="2" t="s">
        <v>1130</v>
      </c>
      <c r="C806" s="2" t="s">
        <v>1131</v>
      </c>
      <c r="D806" s="3" t="str">
        <f>HYPERLINK("https://12go.asia/en/travel/jiaocheng/ruijin", "12Go Link")</f>
        <v>12Go Link</v>
      </c>
      <c r="E806" s="2" t="s">
        <v>77</v>
      </c>
    </row>
    <row r="807">
      <c r="A807" s="2" t="s">
        <v>650</v>
      </c>
      <c r="B807" s="2" t="s">
        <v>794</v>
      </c>
      <c r="C807" s="2" t="s">
        <v>1132</v>
      </c>
      <c r="D807" s="3" t="str">
        <f>HYPERLINK("https://12go.asia/en/travel/jiaocheng/yiwu", "12Go Link")</f>
        <v>12Go Link</v>
      </c>
      <c r="E807" s="2" t="s">
        <v>77</v>
      </c>
    </row>
    <row r="808">
      <c r="A808" s="2" t="s">
        <v>650</v>
      </c>
      <c r="B808" s="2" t="s">
        <v>1002</v>
      </c>
      <c r="C808" s="2" t="s">
        <v>1133</v>
      </c>
      <c r="D808" s="3" t="str">
        <f>HYPERLINK("https://12go.asia/en/travel/jiaocheng/yulin-guangxi", "12Go Link")</f>
        <v>12Go Link</v>
      </c>
      <c r="E808" s="2" t="s">
        <v>77</v>
      </c>
    </row>
    <row r="809">
      <c r="A809" s="2" t="s">
        <v>650</v>
      </c>
      <c r="B809" s="2" t="s">
        <v>575</v>
      </c>
      <c r="C809" s="2" t="s">
        <v>1134</v>
      </c>
      <c r="D809" s="3" t="str">
        <f>HYPERLINK("https://12go.asia/en/travel/jiaocheng/zhangjiagang", "12Go Link")</f>
        <v>12Go Link</v>
      </c>
      <c r="E809" s="2" t="s">
        <v>77</v>
      </c>
    </row>
    <row r="810">
      <c r="A810" s="2" t="s">
        <v>621</v>
      </c>
      <c r="B810" s="2" t="s">
        <v>408</v>
      </c>
      <c r="C810" s="2" t="s">
        <v>1135</v>
      </c>
      <c r="D810" s="3" t="str">
        <f>HYPERLINK("https://12go.asia/en/travel/jiangbei-airport/chengdu-east", "12Go Link")</f>
        <v>12Go Link</v>
      </c>
      <c r="E810" s="2" t="s">
        <v>77</v>
      </c>
    </row>
    <row r="811">
      <c r="A811" s="2" t="s">
        <v>621</v>
      </c>
      <c r="B811" s="2" t="s">
        <v>408</v>
      </c>
      <c r="C811" s="2" t="s">
        <v>1136</v>
      </c>
      <c r="D811" s="3" t="str">
        <f>HYPERLINK("https://12go.asia/en/travel/yinhua/chengdu-east", "12Go Link")</f>
        <v>12Go Link</v>
      </c>
      <c r="E811" s="2" t="s">
        <v>77</v>
      </c>
    </row>
    <row r="812">
      <c r="A812" s="2" t="s">
        <v>621</v>
      </c>
      <c r="B812" s="2" t="s">
        <v>1137</v>
      </c>
      <c r="C812" s="2" t="s">
        <v>1138</v>
      </c>
      <c r="D812" s="3" t="str">
        <f>HYPERLINK("https://12go.asia/en/travel/jiaxiang/foshan", "12Go Link")</f>
        <v>12Go Link</v>
      </c>
      <c r="E812" s="2" t="s">
        <v>77</v>
      </c>
    </row>
    <row r="813">
      <c r="A813" s="2" t="s">
        <v>621</v>
      </c>
      <c r="B813" s="2" t="s">
        <v>612</v>
      </c>
      <c r="C813" s="2" t="s">
        <v>1139</v>
      </c>
      <c r="D813" s="3" t="str">
        <f>HYPERLINK("https://12go.asia/en/travel/jiaxiang/panzhihua", "12Go Link")</f>
        <v>12Go Link</v>
      </c>
      <c r="E813" s="2" t="s">
        <v>77</v>
      </c>
    </row>
    <row r="814">
      <c r="A814" s="2" t="s">
        <v>621</v>
      </c>
      <c r="B814" s="2" t="s">
        <v>1140</v>
      </c>
      <c r="C814" s="2" t="s">
        <v>1141</v>
      </c>
      <c r="D814" s="3" t="str">
        <f>HYPERLINK("https://12go.asia/en/travel/jiaxiang/qingcheng-mountain", "12Go Link")</f>
        <v>12Go Link</v>
      </c>
      <c r="E814" s="2" t="s">
        <v>77</v>
      </c>
    </row>
    <row r="815">
      <c r="A815" s="2" t="s">
        <v>621</v>
      </c>
      <c r="B815" s="2" t="s">
        <v>626</v>
      </c>
      <c r="C815" s="2" t="s">
        <v>1142</v>
      </c>
      <c r="D815" s="3" t="str">
        <f>HYPERLINK("https://12go.asia/en/travel/jiaxiang/quzhou", "12Go Link")</f>
        <v>12Go Link</v>
      </c>
      <c r="E815" s="2" t="s">
        <v>77</v>
      </c>
    </row>
    <row r="816">
      <c r="A816" s="2" t="s">
        <v>621</v>
      </c>
      <c r="B816" s="2" t="s">
        <v>1143</v>
      </c>
      <c r="C816" s="2" t="s">
        <v>1144</v>
      </c>
      <c r="D816" s="3" t="str">
        <f>HYPERLINK("https://12go.asia/en/travel/jiaxiang/renhe", "12Go Link")</f>
        <v>12Go Link</v>
      </c>
      <c r="E816" s="2" t="s">
        <v>77</v>
      </c>
    </row>
    <row r="817">
      <c r="A817" s="2" t="s">
        <v>621</v>
      </c>
      <c r="B817" s="2" t="s">
        <v>565</v>
      </c>
      <c r="C817" s="2" t="s">
        <v>1145</v>
      </c>
      <c r="D817" s="3" t="str">
        <f>HYPERLINK("https://12go.asia/en/travel/jiaxiang/shangqiu", "12Go Link")</f>
        <v>12Go Link</v>
      </c>
      <c r="E817" s="2" t="s">
        <v>77</v>
      </c>
    </row>
    <row r="818">
      <c r="A818" s="2" t="s">
        <v>621</v>
      </c>
      <c r="B818" s="2" t="s">
        <v>603</v>
      </c>
      <c r="C818" s="2" t="s">
        <v>1146</v>
      </c>
      <c r="D818" s="3" t="str">
        <f>HYPERLINK("https://12go.asia/en/travel/jiaxiang/shenyang", "12Go Link")</f>
        <v>12Go Link</v>
      </c>
      <c r="E818" s="2" t="s">
        <v>77</v>
      </c>
    </row>
    <row r="819">
      <c r="A819" s="2" t="s">
        <v>621</v>
      </c>
      <c r="B819" s="2" t="s">
        <v>1147</v>
      </c>
      <c r="C819" s="2" t="s">
        <v>1148</v>
      </c>
      <c r="D819" s="3" t="str">
        <f>HYPERLINK("https://12go.asia/en/travel/jiaxiang/taizhou-jiangsu", "12Go Link")</f>
        <v>12Go Link</v>
      </c>
      <c r="E819" s="2" t="s">
        <v>77</v>
      </c>
    </row>
    <row r="820">
      <c r="A820" s="2" t="s">
        <v>621</v>
      </c>
      <c r="B820" s="2" t="s">
        <v>397</v>
      </c>
      <c r="C820" s="2" t="s">
        <v>1149</v>
      </c>
      <c r="D820" s="3" t="str">
        <f>HYPERLINK("https://12go.asia/en/travel/jiaxiang/xiangyang", "12Go Link")</f>
        <v>12Go Link</v>
      </c>
      <c r="E820" s="2" t="s">
        <v>77</v>
      </c>
    </row>
    <row r="821">
      <c r="A821" s="2" t="s">
        <v>621</v>
      </c>
      <c r="B821" s="2" t="s">
        <v>378</v>
      </c>
      <c r="C821" s="2" t="s">
        <v>1150</v>
      </c>
      <c r="D821" s="3" t="str">
        <f>HYPERLINK("https://12go.asia/en/travel/jiaxiang/xunxian", "12Go Link")</f>
        <v>12Go Link</v>
      </c>
      <c r="E821" s="2" t="s">
        <v>77</v>
      </c>
    </row>
    <row r="822">
      <c r="A822" s="2" t="s">
        <v>1151</v>
      </c>
      <c r="B822" s="2" t="s">
        <v>650</v>
      </c>
      <c r="C822" s="2" t="s">
        <v>1152</v>
      </c>
      <c r="D822" s="3" t="str">
        <f>HYPERLINK("https://12go.asia/en/travel/jiayuguan-city/jiaocheng", "12Go Link")</f>
        <v>12Go Link</v>
      </c>
      <c r="E822" s="2" t="s">
        <v>77</v>
      </c>
    </row>
    <row r="823">
      <c r="A823" s="2" t="s">
        <v>1153</v>
      </c>
      <c r="B823" s="2" t="s">
        <v>1154</v>
      </c>
      <c r="C823" s="2" t="s">
        <v>1155</v>
      </c>
      <c r="D823" s="3" t="str">
        <f>HYPERLINK("https://12go.asia/en/travel/jieshou-south/kunshan-south", "12Go Link")</f>
        <v>12Go Link</v>
      </c>
      <c r="E823" s="2" t="s">
        <v>77</v>
      </c>
    </row>
    <row r="824">
      <c r="A824" s="2" t="s">
        <v>1153</v>
      </c>
      <c r="B824" s="2" t="s">
        <v>1154</v>
      </c>
      <c r="C824" s="2" t="s">
        <v>1156</v>
      </c>
      <c r="D824" s="3" t="str">
        <f>HYPERLINK("https://12go.asia/en/travel/jieshou/kunshan", "12Go Link")</f>
        <v>12Go Link</v>
      </c>
      <c r="E824" s="2" t="s">
        <v>77</v>
      </c>
    </row>
    <row r="825">
      <c r="A825" s="2" t="s">
        <v>1153</v>
      </c>
      <c r="B825" s="2" t="s">
        <v>664</v>
      </c>
      <c r="C825" s="2" t="s">
        <v>1157</v>
      </c>
      <c r="D825" s="3" t="str">
        <f>HYPERLINK("https://12go.asia/en/travel/jieshou/xinyi", "12Go Link")</f>
        <v>12Go Link</v>
      </c>
      <c r="E825" s="2" t="s">
        <v>77</v>
      </c>
    </row>
    <row r="826">
      <c r="A826" s="2" t="s">
        <v>1158</v>
      </c>
      <c r="B826" s="2" t="s">
        <v>1159</v>
      </c>
      <c r="C826" s="2" t="s">
        <v>1160</v>
      </c>
      <c r="D826" s="3" t="str">
        <f>HYPERLINK("https://12go.asia/en/travel/jiexiu-east/weihai", "12Go Link")</f>
        <v>12Go Link</v>
      </c>
      <c r="E826" s="2" t="s">
        <v>77</v>
      </c>
    </row>
    <row r="827">
      <c r="A827" s="2" t="s">
        <v>1158</v>
      </c>
      <c r="B827" s="2" t="s">
        <v>1159</v>
      </c>
      <c r="C827" s="2" t="s">
        <v>1161</v>
      </c>
      <c r="D827" s="3" t="str">
        <f>HYPERLINK("https://12go.asia/en/travel/jiexiu/weihai", "12Go Link")</f>
        <v>12Go Link</v>
      </c>
      <c r="E827" s="2" t="s">
        <v>77</v>
      </c>
    </row>
    <row r="828">
      <c r="A828" s="2" t="s">
        <v>669</v>
      </c>
      <c r="B828" s="2" t="s">
        <v>442</v>
      </c>
      <c r="C828" s="2" t="s">
        <v>1162</v>
      </c>
      <c r="D828" s="3" t="str">
        <f>HYPERLINK("https://12go.asia/en/travel/jilin/cangzhou", "12Go Link")</f>
        <v>12Go Link</v>
      </c>
      <c r="E828" s="2" t="s">
        <v>77</v>
      </c>
    </row>
    <row r="829">
      <c r="A829" s="2" t="s">
        <v>669</v>
      </c>
      <c r="B829" s="2" t="s">
        <v>671</v>
      </c>
      <c r="C829" s="2" t="s">
        <v>1163</v>
      </c>
      <c r="D829" s="3" t="str">
        <f>HYPERLINK("https://12go.asia/en/travel/jilin/daqing", "12Go Link")</f>
        <v>12Go Link</v>
      </c>
      <c r="E829" s="2" t="s">
        <v>77</v>
      </c>
    </row>
    <row r="830">
      <c r="A830" s="2" t="s">
        <v>669</v>
      </c>
      <c r="B830" s="2" t="s">
        <v>671</v>
      </c>
      <c r="C830" s="2" t="s">
        <v>1164</v>
      </c>
      <c r="D830" s="3" t="str">
        <f>HYPERLINK("https://12go.asia/en/travel/jilin/daqing-east", "12Go Link")</f>
        <v>12Go Link</v>
      </c>
      <c r="E830" s="2" t="s">
        <v>77</v>
      </c>
    </row>
    <row r="831">
      <c r="A831" s="2" t="s">
        <v>669</v>
      </c>
      <c r="B831" s="2" t="s">
        <v>420</v>
      </c>
      <c r="C831" s="2" t="s">
        <v>1165</v>
      </c>
      <c r="D831" s="3" t="str">
        <f>HYPERLINK("https://12go.asia/en/travel/jilin/shanghai-songjiang", "12Go Link")</f>
        <v>12Go Link</v>
      </c>
      <c r="E831" s="2" t="s">
        <v>77</v>
      </c>
    </row>
    <row r="832">
      <c r="A832" s="2" t="s">
        <v>669</v>
      </c>
      <c r="B832" s="2" t="s">
        <v>420</v>
      </c>
      <c r="C832" s="2" t="s">
        <v>1166</v>
      </c>
      <c r="D832" s="3" t="str">
        <f>HYPERLINK("https://12go.asia/en/travel/jilin/songjiang-shanghai", "12Go Link")</f>
        <v>12Go Link</v>
      </c>
      <c r="E832" s="2" t="s">
        <v>77</v>
      </c>
    </row>
    <row r="833">
      <c r="A833" s="2" t="s">
        <v>669</v>
      </c>
      <c r="B833" s="2" t="s">
        <v>1167</v>
      </c>
      <c r="C833" s="2" t="s">
        <v>1168</v>
      </c>
      <c r="D833" s="3" t="str">
        <f>HYPERLINK("https://12go.asia/en/travel/jilin/yabuli", "12Go Link")</f>
        <v>12Go Link</v>
      </c>
      <c r="E833" s="2" t="s">
        <v>77</v>
      </c>
    </row>
    <row r="834">
      <c r="A834" s="2" t="s">
        <v>669</v>
      </c>
      <c r="B834" s="2" t="s">
        <v>1167</v>
      </c>
      <c r="C834" s="2" t="s">
        <v>1169</v>
      </c>
      <c r="D834" s="3" t="str">
        <f>HYPERLINK("https://12go.asia/en/travel/jilin/yabuli-west", "12Go Link")</f>
        <v>12Go Link</v>
      </c>
      <c r="E834" s="2" t="s">
        <v>77</v>
      </c>
    </row>
    <row r="835">
      <c r="A835" s="2" t="s">
        <v>807</v>
      </c>
      <c r="B835" s="2" t="s">
        <v>442</v>
      </c>
      <c r="C835" s="2" t="s">
        <v>1170</v>
      </c>
      <c r="D835" s="3" t="str">
        <f>HYPERLINK("https://12go.asia/en/travel/daminghu/cangzhou", "12Go Link")</f>
        <v>12Go Link</v>
      </c>
      <c r="E835" s="2" t="s">
        <v>77</v>
      </c>
    </row>
    <row r="836">
      <c r="A836" s="2" t="s">
        <v>807</v>
      </c>
      <c r="B836" s="2" t="s">
        <v>442</v>
      </c>
      <c r="C836" s="2" t="s">
        <v>1171</v>
      </c>
      <c r="D836" s="3" t="str">
        <f>HYPERLINK("https://12go.asia/en/travel/jinan/cangzhou", "12Go Link")</f>
        <v>12Go Link</v>
      </c>
      <c r="E836" s="2" t="s">
        <v>77</v>
      </c>
    </row>
    <row r="837">
      <c r="A837" s="2" t="s">
        <v>807</v>
      </c>
      <c r="B837" s="2" t="s">
        <v>645</v>
      </c>
      <c r="C837" s="2" t="s">
        <v>1172</v>
      </c>
      <c r="D837" s="3" t="str">
        <f>HYPERLINK("https://12go.asia/en/travel/daminghu/xingtai", "12Go Link")</f>
        <v>12Go Link</v>
      </c>
      <c r="E837" s="2" t="s">
        <v>77</v>
      </c>
    </row>
    <row r="838">
      <c r="A838" s="2" t="s">
        <v>807</v>
      </c>
      <c r="B838" s="2" t="s">
        <v>748</v>
      </c>
      <c r="C838" s="2" t="s">
        <v>1173</v>
      </c>
      <c r="D838" s="3" t="str">
        <f>HYPERLINK("https://12go.asia/en/travel/jinan-east/hefei", "12Go Link")</f>
        <v>12Go Link</v>
      </c>
      <c r="E838" s="2" t="s">
        <v>77</v>
      </c>
    </row>
    <row r="839">
      <c r="A839" s="2" t="s">
        <v>807</v>
      </c>
      <c r="B839" s="2" t="s">
        <v>1174</v>
      </c>
      <c r="C839" s="2" t="s">
        <v>1175</v>
      </c>
      <c r="D839" s="3" t="str">
        <f>HYPERLINK("https://12go.asia/en/travel/jinan/panjin", "12Go Link")</f>
        <v>12Go Link</v>
      </c>
      <c r="E839" s="2" t="s">
        <v>77</v>
      </c>
    </row>
    <row r="840">
      <c r="A840" s="2" t="s">
        <v>1176</v>
      </c>
      <c r="B840" s="2" t="s">
        <v>459</v>
      </c>
      <c r="C840" s="2" t="s">
        <v>1177</v>
      </c>
      <c r="D840" s="3" t="str">
        <f>HYPERLINK("https://12go.asia/en/travel/jincheng-east/shanghai-hongqiao", "12Go Link")</f>
        <v>12Go Link</v>
      </c>
      <c r="E840" s="2" t="s">
        <v>77</v>
      </c>
    </row>
    <row r="841">
      <c r="A841" s="2" t="s">
        <v>1176</v>
      </c>
      <c r="B841" s="2" t="s">
        <v>461</v>
      </c>
      <c r="C841" s="2" t="s">
        <v>1178</v>
      </c>
      <c r="D841" s="3" t="str">
        <f>HYPERLINK("https://12go.asia/en/travel/jincheng/shanghai-hongqiao-airport", "12Go Link")</f>
        <v>12Go Link</v>
      </c>
      <c r="E841" s="2" t="s">
        <v>77</v>
      </c>
    </row>
    <row r="842">
      <c r="A842" s="2" t="s">
        <v>1179</v>
      </c>
      <c r="B842" s="2" t="s">
        <v>739</v>
      </c>
      <c r="C842" s="2" t="s">
        <v>1180</v>
      </c>
      <c r="D842" s="3" t="str">
        <f>HYPERLINK("https://12go.asia/en/travel/jingdezhen-north/dexing", "12Go Link")</f>
        <v>12Go Link</v>
      </c>
      <c r="E842" s="2" t="s">
        <v>77</v>
      </c>
    </row>
    <row r="843">
      <c r="A843" s="2" t="s">
        <v>1179</v>
      </c>
      <c r="B843" s="2" t="s">
        <v>763</v>
      </c>
      <c r="C843" s="2" t="s">
        <v>1181</v>
      </c>
      <c r="D843" s="3" t="str">
        <f>HYPERLINK("https://12go.asia/en/travel/jingdezhen-north/jinhua-south", "12Go Link")</f>
        <v>12Go Link</v>
      </c>
      <c r="E843" s="2" t="s">
        <v>77</v>
      </c>
    </row>
    <row r="844">
      <c r="A844" s="2" t="s">
        <v>1179</v>
      </c>
      <c r="B844" s="2" t="s">
        <v>459</v>
      </c>
      <c r="C844" s="2" t="s">
        <v>1182</v>
      </c>
      <c r="D844" s="3" t="str">
        <f>HYPERLINK("https://12go.asia/en/travel/jingdezhen-north/shanghai", "12Go Link")</f>
        <v>12Go Link</v>
      </c>
      <c r="E844" s="2" t="s">
        <v>77</v>
      </c>
    </row>
    <row r="845">
      <c r="A845" s="2" t="s">
        <v>1179</v>
      </c>
      <c r="B845" s="2" t="s">
        <v>420</v>
      </c>
      <c r="C845" s="2" t="s">
        <v>1183</v>
      </c>
      <c r="D845" s="3" t="str">
        <f>HYPERLINK("https://12go.asia/en/travel/jingdezhen-north/shanghai-songjiang", "12Go Link")</f>
        <v>12Go Link</v>
      </c>
      <c r="E845" s="2" t="s">
        <v>77</v>
      </c>
    </row>
    <row r="846">
      <c r="A846" s="2" t="s">
        <v>1179</v>
      </c>
      <c r="B846" s="2" t="s">
        <v>420</v>
      </c>
      <c r="C846" s="2" t="s">
        <v>1184</v>
      </c>
      <c r="D846" s="3" t="str">
        <f>HYPERLINK("https://12go.asia/en/travel/jingdezhen/songjiang-shanghai", "12Go Link")</f>
        <v>12Go Link</v>
      </c>
      <c r="E846" s="2" t="s">
        <v>77</v>
      </c>
    </row>
    <row r="847">
      <c r="A847" s="2" t="s">
        <v>1179</v>
      </c>
      <c r="B847" s="2" t="s">
        <v>786</v>
      </c>
      <c r="C847" s="2" t="s">
        <v>1185</v>
      </c>
      <c r="D847" s="3" t="str">
        <f>HYPERLINK("https://12go.asia/en/travel/jingdezhen-north/wenzhou", "12Go Link")</f>
        <v>12Go Link</v>
      </c>
      <c r="E847" s="2" t="s">
        <v>77</v>
      </c>
    </row>
    <row r="848">
      <c r="A848" s="2" t="s">
        <v>1179</v>
      </c>
      <c r="B848" s="2" t="s">
        <v>790</v>
      </c>
      <c r="C848" s="2" t="s">
        <v>1186</v>
      </c>
      <c r="D848" s="3" t="str">
        <f>HYPERLINK("https://12go.asia/en/travel/jingdezhen-north/xiamen-north", "12Go Link")</f>
        <v>12Go Link</v>
      </c>
      <c r="E848" s="2" t="s">
        <v>77</v>
      </c>
    </row>
    <row r="849">
      <c r="A849" s="2" t="s">
        <v>763</v>
      </c>
      <c r="B849" s="2" t="s">
        <v>380</v>
      </c>
      <c r="C849" s="2" t="s">
        <v>1187</v>
      </c>
      <c r="D849" s="3" t="str">
        <f>HYPERLINK("https://12go.asia/en/travel/jinhua-south/xuancheng", "12Go Link")</f>
        <v>12Go Link</v>
      </c>
      <c r="E849" s="2" t="s">
        <v>77</v>
      </c>
    </row>
    <row r="850">
      <c r="A850" s="2" t="s">
        <v>763</v>
      </c>
      <c r="B850" s="2" t="s">
        <v>380</v>
      </c>
      <c r="C850" s="2" t="s">
        <v>1188</v>
      </c>
      <c r="D850" s="3" t="str">
        <f>HYPERLINK("https://12go.asia/en/travel/jinhua/xuancheng", "12Go Link")</f>
        <v>12Go Link</v>
      </c>
      <c r="E850" s="2" t="s">
        <v>77</v>
      </c>
    </row>
    <row r="851">
      <c r="A851" s="2" t="s">
        <v>763</v>
      </c>
      <c r="B851" s="2" t="s">
        <v>1189</v>
      </c>
      <c r="C851" s="2" t="s">
        <v>1190</v>
      </c>
      <c r="D851" s="3" t="str">
        <f>HYPERLINK("https://12go.asia/en/travel/jinhua/anshun", "12Go Link")</f>
        <v>12Go Link</v>
      </c>
      <c r="E851" s="2" t="s">
        <v>77</v>
      </c>
    </row>
    <row r="852">
      <c r="A852" s="2" t="s">
        <v>763</v>
      </c>
      <c r="B852" s="2" t="s">
        <v>1189</v>
      </c>
      <c r="C852" s="2" t="s">
        <v>1191</v>
      </c>
      <c r="D852" s="3" t="str">
        <f>HYPERLINK("https://12go.asia/en/travel/jinhua/anshun-west", "12Go Link")</f>
        <v>12Go Link</v>
      </c>
      <c r="E852" s="2" t="s">
        <v>77</v>
      </c>
    </row>
    <row r="853">
      <c r="A853" s="2" t="s">
        <v>763</v>
      </c>
      <c r="B853" s="2" t="s">
        <v>1189</v>
      </c>
      <c r="C853" s="2" t="s">
        <v>1192</v>
      </c>
      <c r="D853" s="3" t="str">
        <f>HYPERLINK("https://12go.asia/en/travel/jinhua/guanling", "12Go Link")</f>
        <v>12Go Link</v>
      </c>
      <c r="E853" s="2" t="s">
        <v>77</v>
      </c>
    </row>
    <row r="854">
      <c r="A854" s="2" t="s">
        <v>763</v>
      </c>
      <c r="B854" s="2" t="s">
        <v>710</v>
      </c>
      <c r="C854" s="2" t="s">
        <v>1193</v>
      </c>
      <c r="D854" s="3" t="str">
        <f>HYPERLINK("https://12go.asia/en/travel/jinhua-south/fuding", "12Go Link")</f>
        <v>12Go Link</v>
      </c>
      <c r="E854" s="2" t="s">
        <v>77</v>
      </c>
    </row>
    <row r="855">
      <c r="A855" s="2" t="s">
        <v>763</v>
      </c>
      <c r="B855" s="2" t="s">
        <v>710</v>
      </c>
      <c r="C855" s="2" t="s">
        <v>1194</v>
      </c>
      <c r="D855" s="3" t="str">
        <f>HYPERLINK("https://12go.asia/en/travel/jinhua/fuding", "12Go Link")</f>
        <v>12Go Link</v>
      </c>
      <c r="E855" s="2" t="s">
        <v>77</v>
      </c>
    </row>
    <row r="856">
      <c r="A856" s="2" t="s">
        <v>763</v>
      </c>
      <c r="B856" s="2" t="s">
        <v>595</v>
      </c>
      <c r="C856" s="2" t="s">
        <v>1195</v>
      </c>
      <c r="D856" s="3" t="str">
        <f>HYPERLINK("https://12go.asia/en/travel/jinhua/huaihua", "12Go Link")</f>
        <v>12Go Link</v>
      </c>
      <c r="E856" s="2" t="s">
        <v>77</v>
      </c>
    </row>
    <row r="857">
      <c r="A857" s="2" t="s">
        <v>763</v>
      </c>
      <c r="B857" s="2" t="s">
        <v>595</v>
      </c>
      <c r="C857" s="2" t="s">
        <v>1196</v>
      </c>
      <c r="D857" s="3" t="str">
        <f>HYPERLINK("https://12go.asia/en/travel/jinhua/huaihua-south", "12Go Link")</f>
        <v>12Go Link</v>
      </c>
      <c r="E857" s="2" t="s">
        <v>77</v>
      </c>
    </row>
    <row r="858">
      <c r="A858" s="2" t="s">
        <v>763</v>
      </c>
      <c r="B858" s="2" t="s">
        <v>767</v>
      </c>
      <c r="C858" s="2" t="s">
        <v>1197</v>
      </c>
      <c r="D858" s="3" t="str">
        <f>HYPERLINK("https://12go.asia/en/travel/jinhua-south/jiujiang", "12Go Link")</f>
        <v>12Go Link</v>
      </c>
      <c r="E858" s="2" t="s">
        <v>77</v>
      </c>
    </row>
    <row r="859">
      <c r="A859" s="2" t="s">
        <v>763</v>
      </c>
      <c r="B859" s="2" t="s">
        <v>767</v>
      </c>
      <c r="C859" s="2" t="s">
        <v>1198</v>
      </c>
      <c r="D859" s="3" t="str">
        <f>HYPERLINK("https://12go.asia/en/travel/jinhua/jiujiang", "12Go Link")</f>
        <v>12Go Link</v>
      </c>
      <c r="E859" s="2" t="s">
        <v>77</v>
      </c>
    </row>
    <row r="860">
      <c r="A860" s="2" t="s">
        <v>763</v>
      </c>
      <c r="B860" s="2" t="s">
        <v>907</v>
      </c>
      <c r="C860" s="2" t="s">
        <v>1199</v>
      </c>
      <c r="D860" s="3" t="str">
        <f>HYPERLINK("https://12go.asia/en/travel/jinhua-south/langxi-south", "12Go Link")</f>
        <v>12Go Link</v>
      </c>
      <c r="E860" s="2" t="s">
        <v>77</v>
      </c>
    </row>
    <row r="861">
      <c r="A861" s="2" t="s">
        <v>763</v>
      </c>
      <c r="B861" s="2" t="s">
        <v>907</v>
      </c>
      <c r="C861" s="2" t="s">
        <v>1200</v>
      </c>
      <c r="D861" s="3" t="str">
        <f>HYPERLINK("https://12go.asia/en/travel/jinhua/xuanzhou", "12Go Link")</f>
        <v>12Go Link</v>
      </c>
      <c r="E861" s="2" t="s">
        <v>77</v>
      </c>
    </row>
    <row r="862">
      <c r="A862" s="2" t="s">
        <v>763</v>
      </c>
      <c r="B862" s="2" t="s">
        <v>852</v>
      </c>
      <c r="C862" s="2" t="s">
        <v>1201</v>
      </c>
      <c r="D862" s="3" t="str">
        <f>HYPERLINK("https://12go.asia/en/travel/jinhua-south/yancheng", "12Go Link")</f>
        <v>12Go Link</v>
      </c>
      <c r="E862" s="2" t="s">
        <v>77</v>
      </c>
    </row>
    <row r="863">
      <c r="A863" s="2" t="s">
        <v>763</v>
      </c>
      <c r="B863" s="2" t="s">
        <v>852</v>
      </c>
      <c r="C863" s="2" t="s">
        <v>1202</v>
      </c>
      <c r="D863" s="3" t="str">
        <f>HYPERLINK("https://12go.asia/en/travel/jinhua/yancheng", "12Go Link")</f>
        <v>12Go Link</v>
      </c>
      <c r="E863" s="2" t="s">
        <v>77</v>
      </c>
    </row>
    <row r="864">
      <c r="A864" s="2" t="s">
        <v>763</v>
      </c>
      <c r="B864" s="2" t="s">
        <v>575</v>
      </c>
      <c r="C864" s="2" t="s">
        <v>1203</v>
      </c>
      <c r="D864" s="3" t="str">
        <f>HYPERLINK("https://12go.asia/en/travel/jinhua/zhangjiagang", "12Go Link")</f>
        <v>12Go Link</v>
      </c>
      <c r="E864" s="2" t="s">
        <v>77</v>
      </c>
    </row>
    <row r="865">
      <c r="A865" s="2" t="s">
        <v>763</v>
      </c>
      <c r="B865" s="2" t="s">
        <v>560</v>
      </c>
      <c r="C865" s="2" t="s">
        <v>1204</v>
      </c>
      <c r="D865" s="3" t="str">
        <f>HYPERLINK("https://12go.asia/en/travel/jinhua/zhuzhou", "12Go Link")</f>
        <v>12Go Link</v>
      </c>
      <c r="E865" s="2" t="s">
        <v>77</v>
      </c>
    </row>
    <row r="866">
      <c r="A866" s="2" t="s">
        <v>1205</v>
      </c>
      <c r="B866" s="2" t="s">
        <v>442</v>
      </c>
      <c r="C866" s="2" t="s">
        <v>1206</v>
      </c>
      <c r="D866" s="3" t="str">
        <f>HYPERLINK("https://12go.asia/en/travel/jinzhou/cangzhou", "12Go Link")</f>
        <v>12Go Link</v>
      </c>
      <c r="E866" s="2" t="s">
        <v>77</v>
      </c>
    </row>
    <row r="867">
      <c r="A867" s="2" t="s">
        <v>1205</v>
      </c>
      <c r="B867" s="2" t="s">
        <v>870</v>
      </c>
      <c r="C867" s="2" t="s">
        <v>1207</v>
      </c>
      <c r="D867" s="3" t="str">
        <f>HYPERLINK("https://12go.asia/en/travel/jinzhou/guangzhoubaiyun", "12Go Link")</f>
        <v>12Go Link</v>
      </c>
      <c r="E867" s="2" t="s">
        <v>77</v>
      </c>
    </row>
    <row r="868">
      <c r="A868" s="2" t="s">
        <v>1205</v>
      </c>
      <c r="B868" s="2" t="s">
        <v>870</v>
      </c>
      <c r="C868" s="2" t="s">
        <v>1208</v>
      </c>
      <c r="D868" s="3" t="str">
        <f>HYPERLINK("https://12go.asia/en/travel/jinzhou/huaxi", "12Go Link")</f>
        <v>12Go Link</v>
      </c>
      <c r="E868" s="2" t="s">
        <v>77</v>
      </c>
    </row>
    <row r="869">
      <c r="A869" s="2" t="s">
        <v>1205</v>
      </c>
      <c r="B869" s="2" t="s">
        <v>448</v>
      </c>
      <c r="C869" s="2" t="s">
        <v>1209</v>
      </c>
      <c r="D869" s="3" t="str">
        <f>HYPERLINK("https://12go.asia/en/travel/jinzhou-south/huludao-north", "12Go Link")</f>
        <v>12Go Link</v>
      </c>
      <c r="E869" s="2" t="s">
        <v>77</v>
      </c>
    </row>
    <row r="870">
      <c r="A870" s="2" t="s">
        <v>1205</v>
      </c>
      <c r="B870" s="2" t="s">
        <v>454</v>
      </c>
      <c r="C870" s="2" t="s">
        <v>1210</v>
      </c>
      <c r="D870" s="3" t="str">
        <f>HYPERLINK("https://12go.asia/en/travel/jinzhou/nanjing", "12Go Link")</f>
        <v>12Go Link</v>
      </c>
      <c r="E870" s="2" t="s">
        <v>77</v>
      </c>
    </row>
    <row r="871">
      <c r="A871" s="2" t="s">
        <v>1205</v>
      </c>
      <c r="B871" s="2" t="s">
        <v>1174</v>
      </c>
      <c r="C871" s="2" t="s">
        <v>1211</v>
      </c>
      <c r="D871" s="3" t="str">
        <f>HYPERLINK("https://12go.asia/en/travel/jinzhou-north/panjin", "12Go Link")</f>
        <v>12Go Link</v>
      </c>
      <c r="E871" s="2" t="s">
        <v>77</v>
      </c>
    </row>
    <row r="872">
      <c r="A872" s="2" t="s">
        <v>1205</v>
      </c>
      <c r="B872" s="2" t="s">
        <v>1174</v>
      </c>
      <c r="C872" s="2" t="s">
        <v>1212</v>
      </c>
      <c r="D872" s="3" t="str">
        <f>HYPERLINK("https://12go.asia/en/travel/jinzhou/panjin", "12Go Link")</f>
        <v>12Go Link</v>
      </c>
      <c r="E872" s="2" t="s">
        <v>77</v>
      </c>
    </row>
    <row r="873">
      <c r="A873" s="2" t="s">
        <v>1046</v>
      </c>
      <c r="B873" s="2" t="s">
        <v>420</v>
      </c>
      <c r="C873" s="2" t="s">
        <v>1213</v>
      </c>
      <c r="D873" s="3" t="str">
        <f>HYPERLINK("https://12go.asia/en/travel/jishou/shanghai-songjiang", "12Go Link")</f>
        <v>12Go Link</v>
      </c>
      <c r="E873" s="2" t="s">
        <v>77</v>
      </c>
    </row>
    <row r="874">
      <c r="A874" s="2" t="s">
        <v>1046</v>
      </c>
      <c r="B874" s="2" t="s">
        <v>420</v>
      </c>
      <c r="C874" s="2" t="s">
        <v>1214</v>
      </c>
      <c r="D874" s="3" t="str">
        <f>HYPERLINK("https://12go.asia/en/travel/jishou/songjiang-shanghai", "12Go Link")</f>
        <v>12Go Link</v>
      </c>
      <c r="E874" s="2" t="s">
        <v>77</v>
      </c>
    </row>
    <row r="875">
      <c r="A875" s="2" t="s">
        <v>767</v>
      </c>
      <c r="B875" s="2" t="s">
        <v>459</v>
      </c>
      <c r="C875" s="2" t="s">
        <v>1215</v>
      </c>
      <c r="D875" s="3" t="str">
        <f>HYPERLINK("https://12go.asia/en/travel/jiujiang/shanghai-hongqiao", "12Go Link")</f>
        <v>12Go Link</v>
      </c>
      <c r="E875" s="2" t="s">
        <v>77</v>
      </c>
    </row>
    <row r="876">
      <c r="A876" s="2" t="s">
        <v>767</v>
      </c>
      <c r="B876" s="2" t="s">
        <v>461</v>
      </c>
      <c r="C876" s="2" t="s">
        <v>1216</v>
      </c>
      <c r="D876" s="3" t="str">
        <f>HYPERLINK("https://12go.asia/en/travel/jiujiang/shanghai-hongqiao-airport", "12Go Link")</f>
        <v>12Go Link</v>
      </c>
      <c r="E876" s="2" t="s">
        <v>77</v>
      </c>
    </row>
    <row r="877">
      <c r="A877" s="2" t="s">
        <v>1217</v>
      </c>
      <c r="B877" s="2" t="s">
        <v>436</v>
      </c>
      <c r="C877" s="2" t="s">
        <v>1218</v>
      </c>
      <c r="D877" s="3" t="str">
        <f>HYPERLINK("https://12go.asia/en/travel/jiuquan/taian", "12Go Link")</f>
        <v>12Go Link</v>
      </c>
      <c r="E877" s="2" t="s">
        <v>77</v>
      </c>
    </row>
    <row r="878">
      <c r="A878" s="2" t="s">
        <v>980</v>
      </c>
      <c r="B878" s="2" t="s">
        <v>868</v>
      </c>
      <c r="C878" s="2" t="s">
        <v>1219</v>
      </c>
      <c r="D878" s="3" t="str">
        <f>HYPERLINK("https://12go.asia/en/travel/kaifeng/heshan", "12Go Link")</f>
        <v>12Go Link</v>
      </c>
      <c r="E878" s="2" t="s">
        <v>77</v>
      </c>
    </row>
    <row r="879">
      <c r="A879" s="2" t="s">
        <v>980</v>
      </c>
      <c r="B879" s="2" t="s">
        <v>868</v>
      </c>
      <c r="C879" s="2" t="s">
        <v>1220</v>
      </c>
      <c r="D879" s="3" t="str">
        <f>HYPERLINK("https://12go.asia/en/travel/kaifeng/linyi-east", "12Go Link")</f>
        <v>12Go Link</v>
      </c>
      <c r="E879" s="2" t="s">
        <v>77</v>
      </c>
    </row>
    <row r="880">
      <c r="A880" s="2" t="s">
        <v>980</v>
      </c>
      <c r="B880" s="2" t="s">
        <v>843</v>
      </c>
      <c r="C880" s="2" t="s">
        <v>1221</v>
      </c>
      <c r="D880" s="3" t="str">
        <f>HYPERLINK("https://12go.asia/en/travel/kaifeng/linyi", "12Go Link")</f>
        <v>12Go Link</v>
      </c>
      <c r="E880" s="2" t="s">
        <v>77</v>
      </c>
    </row>
    <row r="881">
      <c r="A881" s="2" t="s">
        <v>980</v>
      </c>
      <c r="B881" s="2" t="s">
        <v>1222</v>
      </c>
      <c r="C881" s="2" t="s">
        <v>1223</v>
      </c>
      <c r="D881" s="3" t="str">
        <f>HYPERLINK("https://12go.asia/en/travel/kaifeng/yibin", "12Go Link")</f>
        <v>12Go Link</v>
      </c>
      <c r="E881" s="2" t="s">
        <v>77</v>
      </c>
    </row>
    <row r="882">
      <c r="A882" s="2" t="s">
        <v>980</v>
      </c>
      <c r="B882" s="2" t="s">
        <v>1222</v>
      </c>
      <c r="C882" s="2" t="s">
        <v>1224</v>
      </c>
      <c r="D882" s="3" t="str">
        <f>HYPERLINK("https://12go.asia/en/travel/songchenglu/yibin", "12Go Link")</f>
        <v>12Go Link</v>
      </c>
      <c r="E882" s="2" t="s">
        <v>77</v>
      </c>
    </row>
    <row r="883">
      <c r="A883" s="2" t="s">
        <v>1225</v>
      </c>
      <c r="B883" s="2" t="s">
        <v>491</v>
      </c>
      <c r="C883" s="2" t="s">
        <v>1226</v>
      </c>
      <c r="D883" s="3" t="str">
        <f>HYPERLINK("https://12go.asia/en/travel/kaili-city/beijing", "12Go Link")</f>
        <v>12Go Link</v>
      </c>
      <c r="E883" s="2" t="s">
        <v>77</v>
      </c>
    </row>
    <row r="884">
      <c r="A884" s="2" t="s">
        <v>1225</v>
      </c>
      <c r="B884" s="2" t="s">
        <v>491</v>
      </c>
      <c r="C884" s="2" t="s">
        <v>1227</v>
      </c>
      <c r="D884" s="3" t="str">
        <f>HYPERLINK("https://12go.asia/en/travel/kaili-south/beijing-west", "12Go Link")</f>
        <v>12Go Link</v>
      </c>
      <c r="E884" s="2" t="s">
        <v>77</v>
      </c>
    </row>
    <row r="885">
      <c r="A885" s="2" t="s">
        <v>1225</v>
      </c>
      <c r="B885" s="2" t="s">
        <v>491</v>
      </c>
      <c r="C885" s="2" t="s">
        <v>1228</v>
      </c>
      <c r="D885" s="3" t="str">
        <f>HYPERLINK("https://12go.asia/en/travel/kaili/beijing-west", "12Go Link")</f>
        <v>12Go Link</v>
      </c>
      <c r="E885" s="2" t="s">
        <v>77</v>
      </c>
    </row>
    <row r="886">
      <c r="A886" s="2" t="s">
        <v>1229</v>
      </c>
      <c r="B886" s="2" t="s">
        <v>402</v>
      </c>
      <c r="C886" s="2" t="s">
        <v>1230</v>
      </c>
      <c r="D886" s="3" t="str">
        <f>HYPERLINK("https://12go.asia/en/travel/kunming/baoding", "12Go Link")</f>
        <v>12Go Link</v>
      </c>
      <c r="E886" s="2" t="s">
        <v>77</v>
      </c>
    </row>
    <row r="887">
      <c r="A887" s="2" t="s">
        <v>1229</v>
      </c>
      <c r="B887" s="2" t="s">
        <v>963</v>
      </c>
      <c r="C887" s="2" t="s">
        <v>1231</v>
      </c>
      <c r="D887" s="3" t="str">
        <f>HYPERLINK("https://12go.asia/en/travel/kunming/zhenyuan-guizhou", "12Go Link")</f>
        <v>12Go Link</v>
      </c>
      <c r="E887" s="2" t="s">
        <v>77</v>
      </c>
    </row>
    <row r="888">
      <c r="A888" s="2" t="s">
        <v>1229</v>
      </c>
      <c r="B888" s="2" t="s">
        <v>932</v>
      </c>
      <c r="C888" s="2" t="s">
        <v>1232</v>
      </c>
      <c r="D888" s="3" t="str">
        <f>HYPERLINK("https://12go.asia/en/travel/kunming/huade", "12Go Link")</f>
        <v>12Go Link</v>
      </c>
      <c r="E888" s="2" t="s">
        <v>77</v>
      </c>
    </row>
    <row r="889">
      <c r="A889" s="2" t="s">
        <v>1229</v>
      </c>
      <c r="B889" s="2" t="s">
        <v>1233</v>
      </c>
      <c r="C889" s="2" t="s">
        <v>1234</v>
      </c>
      <c r="D889" s="3" t="str">
        <f>HYPERLINK("https://12go.asia/en/travel/kunming-south/gejiu", "12Go Link")</f>
        <v>12Go Link</v>
      </c>
      <c r="E889" s="2" t="s">
        <v>77</v>
      </c>
    </row>
    <row r="890">
      <c r="A890" s="2" t="s">
        <v>1229</v>
      </c>
      <c r="B890" s="2" t="s">
        <v>1233</v>
      </c>
      <c r="C890" s="2" t="s">
        <v>1235</v>
      </c>
      <c r="D890" s="3" t="str">
        <f>HYPERLINK("https://12go.asia/en/travel/kunming/gejiu", "12Go Link")</f>
        <v>12Go Link</v>
      </c>
      <c r="E890" s="2" t="s">
        <v>77</v>
      </c>
    </row>
    <row r="891">
      <c r="A891" s="2" t="s">
        <v>1229</v>
      </c>
      <c r="B891" s="2" t="s">
        <v>1233</v>
      </c>
      <c r="C891" s="2" t="s">
        <v>1236</v>
      </c>
      <c r="D891" s="3" t="str">
        <f>HYPERLINK("https://12go.asia/en/travel/kunming/huanan", "12Go Link")</f>
        <v>12Go Link</v>
      </c>
      <c r="E891" s="2" t="s">
        <v>77</v>
      </c>
    </row>
    <row r="892">
      <c r="A892" s="2" t="s">
        <v>1229</v>
      </c>
      <c r="B892" s="2" t="s">
        <v>1237</v>
      </c>
      <c r="C892" s="2" t="s">
        <v>1238</v>
      </c>
      <c r="D892" s="3" t="str">
        <f>HYPERLINK("https://12go.asia/en/travel/kunming-south/luohuang-south", "12Go Link")</f>
        <v>12Go Link</v>
      </c>
      <c r="E892" s="2" t="s">
        <v>77</v>
      </c>
    </row>
    <row r="893">
      <c r="A893" s="2" t="s">
        <v>1229</v>
      </c>
      <c r="B893" s="2" t="s">
        <v>1237</v>
      </c>
      <c r="C893" s="2" t="s">
        <v>1239</v>
      </c>
      <c r="D893" s="3" t="str">
        <f>HYPERLINK("https://12go.asia/en/travel/kunming/jinchengjiang", "12Go Link")</f>
        <v>12Go Link</v>
      </c>
      <c r="E893" s="2" t="s">
        <v>77</v>
      </c>
    </row>
    <row r="894">
      <c r="A894" s="2" t="s">
        <v>1229</v>
      </c>
      <c r="B894" s="2" t="s">
        <v>579</v>
      </c>
      <c r="C894" s="2" t="s">
        <v>1240</v>
      </c>
      <c r="D894" s="3" t="str">
        <f>HYPERLINK("https://12go.asia/en/travel/kunming-south/longchang-north", "12Go Link")</f>
        <v>12Go Link</v>
      </c>
      <c r="E894" s="2" t="s">
        <v>77</v>
      </c>
    </row>
    <row r="895">
      <c r="A895" s="2" t="s">
        <v>1229</v>
      </c>
      <c r="B895" s="2" t="s">
        <v>579</v>
      </c>
      <c r="C895" s="2" t="s">
        <v>1241</v>
      </c>
      <c r="D895" s="3" t="str">
        <f>HYPERLINK("https://12go.asia/en/travel/kunming/longchang", "12Go Link")</f>
        <v>12Go Link</v>
      </c>
      <c r="E895" s="2" t="s">
        <v>77</v>
      </c>
    </row>
    <row r="896">
      <c r="A896" s="2" t="s">
        <v>1229</v>
      </c>
      <c r="B896" s="2" t="s">
        <v>733</v>
      </c>
      <c r="C896" s="2" t="s">
        <v>1242</v>
      </c>
      <c r="D896" s="3" t="str">
        <f>HYPERLINK("https://12go.asia/en/travel/kunming-south/guian", "12Go Link")</f>
        <v>12Go Link</v>
      </c>
      <c r="E896" s="2" t="s">
        <v>77</v>
      </c>
    </row>
    <row r="897">
      <c r="A897" s="2" t="s">
        <v>1229</v>
      </c>
      <c r="B897" s="2" t="s">
        <v>733</v>
      </c>
      <c r="C897" s="2" t="s">
        <v>1243</v>
      </c>
      <c r="D897" s="3" t="str">
        <f>HYPERLINK("https://12go.asia/en/travel/kunming/qingzhen", "12Go Link")</f>
        <v>12Go Link</v>
      </c>
      <c r="E897" s="2" t="s">
        <v>77</v>
      </c>
    </row>
    <row r="898">
      <c r="A898" s="2" t="s">
        <v>1229</v>
      </c>
      <c r="B898" s="2" t="s">
        <v>1244</v>
      </c>
      <c r="C898" s="2" t="s">
        <v>1245</v>
      </c>
      <c r="D898" s="3" t="str">
        <f>HYPERLINK("https://12go.asia/en/travel/kunming/yanbian", "12Go Link")</f>
        <v>12Go Link</v>
      </c>
      <c r="E898" s="2" t="s">
        <v>77</v>
      </c>
    </row>
    <row r="899">
      <c r="A899" s="2" t="s">
        <v>1229</v>
      </c>
      <c r="B899" s="2" t="s">
        <v>1244</v>
      </c>
      <c r="C899" s="2" t="s">
        <v>1246</v>
      </c>
      <c r="D899" s="3" t="str">
        <f>HYPERLINK("https://12go.asia/en/travel/kunming/yanji", "12Go Link")</f>
        <v>12Go Link</v>
      </c>
      <c r="E899" s="2" t="s">
        <v>77</v>
      </c>
    </row>
    <row r="900">
      <c r="A900" s="2" t="s">
        <v>1154</v>
      </c>
      <c r="B900" s="2" t="s">
        <v>1247</v>
      </c>
      <c r="C900" s="2" t="s">
        <v>1248</v>
      </c>
      <c r="D900" s="3" t="str">
        <f>HYPERLINK("https://12go.asia/en/travel/kunshan-south/huiyang", "12Go Link")</f>
        <v>12Go Link</v>
      </c>
      <c r="E900" s="2" t="s">
        <v>77</v>
      </c>
    </row>
    <row r="901">
      <c r="A901" s="2" t="s">
        <v>1154</v>
      </c>
      <c r="B901" s="2" t="s">
        <v>1247</v>
      </c>
      <c r="C901" s="2" t="s">
        <v>1249</v>
      </c>
      <c r="D901" s="3" t="str">
        <f>HYPERLINK("https://12go.asia/en/travel/kunshan/huiyang-district", "12Go Link")</f>
        <v>12Go Link</v>
      </c>
      <c r="E901" s="2" t="s">
        <v>77</v>
      </c>
    </row>
    <row r="902">
      <c r="A902" s="2" t="s">
        <v>1154</v>
      </c>
      <c r="B902" s="2" t="s">
        <v>722</v>
      </c>
      <c r="C902" s="2" t="s">
        <v>1250</v>
      </c>
      <c r="D902" s="3" t="str">
        <f>HYPERLINK("https://12go.asia/en/travel/kunshan-south/huizhou-north", "12Go Link")</f>
        <v>12Go Link</v>
      </c>
      <c r="E902" s="2" t="s">
        <v>77</v>
      </c>
    </row>
    <row r="903">
      <c r="A903" s="2" t="s">
        <v>1154</v>
      </c>
      <c r="B903" s="2" t="s">
        <v>724</v>
      </c>
      <c r="C903" s="2" t="s">
        <v>1251</v>
      </c>
      <c r="D903" s="3" t="str">
        <f>HYPERLINK("https://12go.asia/en/travel/kunshan/jiangbei", "12Go Link")</f>
        <v>12Go Link</v>
      </c>
      <c r="E903" s="2" t="s">
        <v>77</v>
      </c>
    </row>
    <row r="904">
      <c r="A904" s="2" t="s">
        <v>1154</v>
      </c>
      <c r="B904" s="2" t="s">
        <v>730</v>
      </c>
      <c r="C904" s="2" t="s">
        <v>1252</v>
      </c>
      <c r="D904" s="3" t="str">
        <f>HYPERLINK("https://12go.asia/en/travel/kunshan/jiangyuan", "12Go Link")</f>
        <v>12Go Link</v>
      </c>
      <c r="E904" s="2" t="s">
        <v>77</v>
      </c>
    </row>
    <row r="905">
      <c r="A905" s="2" t="s">
        <v>1154</v>
      </c>
      <c r="B905" s="2" t="s">
        <v>381</v>
      </c>
      <c r="C905" s="2" t="s">
        <v>1253</v>
      </c>
      <c r="D905" s="3" t="str">
        <f>HYPERLINK("https://12go.asia/en/travel/kunshan/pujiangzhen", "12Go Link")</f>
        <v>12Go Link</v>
      </c>
      <c r="E905" s="2" t="s">
        <v>77</v>
      </c>
    </row>
    <row r="906">
      <c r="A906" s="2" t="s">
        <v>1254</v>
      </c>
      <c r="B906" s="2" t="s">
        <v>716</v>
      </c>
      <c r="C906" s="2" t="s">
        <v>1255</v>
      </c>
      <c r="D906" s="3" t="str">
        <f>HYPERLINK("https://12go.asia/en/travel/lanshan/quanzhou", "12Go Link")</f>
        <v>12Go Link</v>
      </c>
      <c r="E906" s="2" t="s">
        <v>77</v>
      </c>
    </row>
    <row r="907">
      <c r="A907" s="2" t="s">
        <v>370</v>
      </c>
      <c r="B907" s="2" t="s">
        <v>1256</v>
      </c>
      <c r="C907" s="2" t="s">
        <v>1257</v>
      </c>
      <c r="D907" s="3" t="str">
        <f>HYPERLINK("https://12go.asia/en/travel/lanzhou-west/bengbu", "12Go Link")</f>
        <v>12Go Link</v>
      </c>
      <c r="E907" s="2" t="s">
        <v>77</v>
      </c>
    </row>
    <row r="908">
      <c r="A908" s="2" t="s">
        <v>370</v>
      </c>
      <c r="B908" s="2" t="s">
        <v>1256</v>
      </c>
      <c r="C908" s="2" t="s">
        <v>1258</v>
      </c>
      <c r="D908" s="3" t="str">
        <f>HYPERLINK("https://12go.asia/en/travel/lanzhou-west/bengbu-south", "12Go Link")</f>
        <v>12Go Link</v>
      </c>
      <c r="E908" s="2" t="s">
        <v>77</v>
      </c>
    </row>
    <row r="909">
      <c r="A909" s="2" t="s">
        <v>370</v>
      </c>
      <c r="B909" s="2" t="s">
        <v>1256</v>
      </c>
      <c r="C909" s="2" t="s">
        <v>1259</v>
      </c>
      <c r="D909" s="3" t="str">
        <f>HYPERLINK("https://12go.asia/en/travel/lanzhou/bengbu", "12Go Link")</f>
        <v>12Go Link</v>
      </c>
      <c r="E909" s="2" t="s">
        <v>77</v>
      </c>
    </row>
    <row r="910">
      <c r="A910" s="2" t="s">
        <v>370</v>
      </c>
      <c r="B910" s="2" t="s">
        <v>932</v>
      </c>
      <c r="C910" s="2" t="s">
        <v>1260</v>
      </c>
      <c r="D910" s="3" t="str">
        <f>HYPERLINK("https://12go.asia/en/travel/lanzhou/huade", "12Go Link")</f>
        <v>12Go Link</v>
      </c>
      <c r="E910" s="2" t="s">
        <v>77</v>
      </c>
    </row>
    <row r="911">
      <c r="A911" s="2" t="s">
        <v>370</v>
      </c>
      <c r="B911" s="2" t="s">
        <v>381</v>
      </c>
      <c r="C911" s="2" t="s">
        <v>1261</v>
      </c>
      <c r="D911" s="3" t="str">
        <f>HYPERLINK("https://12go.asia/en/travel/lanzhou/pujiangzhen", "12Go Link")</f>
        <v>12Go Link</v>
      </c>
      <c r="E911" s="2" t="s">
        <v>77</v>
      </c>
    </row>
    <row r="912">
      <c r="A912" s="2" t="s">
        <v>370</v>
      </c>
      <c r="B912" s="2" t="s">
        <v>459</v>
      </c>
      <c r="C912" s="2" t="s">
        <v>1262</v>
      </c>
      <c r="D912" s="3" t="str">
        <f>HYPERLINK("https://12go.asia/en/travel/lanzhou-west/shanghai-south", "12Go Link")</f>
        <v>12Go Link</v>
      </c>
      <c r="E912" s="2" t="s">
        <v>77</v>
      </c>
    </row>
    <row r="913">
      <c r="A913" s="2" t="s">
        <v>1263</v>
      </c>
      <c r="B913" s="2" t="s">
        <v>1264</v>
      </c>
      <c r="C913" s="2" t="s">
        <v>1265</v>
      </c>
      <c r="D913" s="3" t="str">
        <f>HYPERLINK("https://12go.asia/en/travel/leshan/dazu-chongqing", "12Go Link")</f>
        <v>12Go Link</v>
      </c>
      <c r="E913" s="2" t="s">
        <v>77</v>
      </c>
    </row>
    <row r="914">
      <c r="A914" s="2" t="s">
        <v>1263</v>
      </c>
      <c r="B914" s="2" t="s">
        <v>1264</v>
      </c>
      <c r="C914" s="2" t="s">
        <v>1266</v>
      </c>
      <c r="D914" s="3" t="str">
        <f>HYPERLINK("https://12go.asia/en/travel/leshan/rongchang-north", "12Go Link")</f>
        <v>12Go Link</v>
      </c>
      <c r="E914" s="2" t="s">
        <v>77</v>
      </c>
    </row>
    <row r="915">
      <c r="A915" s="2" t="s">
        <v>1263</v>
      </c>
      <c r="B915" s="2" t="s">
        <v>1113</v>
      </c>
      <c r="C915" s="2" t="s">
        <v>1267</v>
      </c>
      <c r="D915" s="3" t="str">
        <f>HYPERLINK("https://12go.asia/en/travel/leshan/hong-kong-island", "12Go Link")</f>
        <v>12Go Link</v>
      </c>
      <c r="E915" s="2" t="s">
        <v>77</v>
      </c>
    </row>
    <row r="916">
      <c r="A916" s="2" t="s">
        <v>1263</v>
      </c>
      <c r="B916" s="2" t="s">
        <v>1043</v>
      </c>
      <c r="C916" s="2" t="s">
        <v>1268</v>
      </c>
      <c r="D916" s="3" t="str">
        <f>HYPERLINK("https://12go.asia/en/travel/leshan/hong-kong-west-kowloon", "12Go Link")</f>
        <v>12Go Link</v>
      </c>
      <c r="E916" s="2" t="s">
        <v>77</v>
      </c>
    </row>
    <row r="917">
      <c r="A917" s="2" t="s">
        <v>1263</v>
      </c>
      <c r="B917" s="2" t="s">
        <v>790</v>
      </c>
      <c r="C917" s="2" t="s">
        <v>1269</v>
      </c>
      <c r="D917" s="3" t="str">
        <f>HYPERLINK("https://12go.asia/en/travel/leshan/xiamen", "12Go Link")</f>
        <v>12Go Link</v>
      </c>
      <c r="E917" s="2" t="s">
        <v>77</v>
      </c>
    </row>
    <row r="918">
      <c r="A918" s="2" t="s">
        <v>1263</v>
      </c>
      <c r="B918" s="2" t="s">
        <v>790</v>
      </c>
      <c r="C918" s="2" t="s">
        <v>1270</v>
      </c>
      <c r="D918" s="3" t="str">
        <f>HYPERLINK("https://12go.asia/en/travel/leshan/xiamen-north", "12Go Link")</f>
        <v>12Go Link</v>
      </c>
      <c r="E918" s="2" t="s">
        <v>77</v>
      </c>
    </row>
    <row r="919">
      <c r="A919" s="2" t="s">
        <v>1263</v>
      </c>
      <c r="B919" s="2" t="s">
        <v>1271</v>
      </c>
      <c r="C919" s="2" t="s">
        <v>1272</v>
      </c>
      <c r="D919" s="3" t="str">
        <f>HYPERLINK("https://12go.asia/en/travel/leshan/kowloon", "12Go Link")</f>
        <v>12Go Link</v>
      </c>
      <c r="E919" s="2" t="s">
        <v>77</v>
      </c>
    </row>
    <row r="920">
      <c r="A920" s="2" t="s">
        <v>1273</v>
      </c>
      <c r="B920" s="2" t="s">
        <v>454</v>
      </c>
      <c r="C920" s="2" t="s">
        <v>1274</v>
      </c>
      <c r="D920" s="3" t="str">
        <f>HYPERLINK("https://12go.asia/en/travel/lhasa-tibet/nanjing", "12Go Link")</f>
        <v>12Go Link</v>
      </c>
      <c r="E920" s="2" t="s">
        <v>77</v>
      </c>
    </row>
    <row r="921">
      <c r="A921" s="2" t="s">
        <v>1273</v>
      </c>
      <c r="B921" s="2" t="s">
        <v>454</v>
      </c>
      <c r="C921" s="2" t="s">
        <v>1275</v>
      </c>
      <c r="D921" s="3" t="str">
        <f>HYPERLINK("https://12go.asia/en/travel/lhasa/nanjing", "12Go Link")</f>
        <v>12Go Link</v>
      </c>
      <c r="E921" s="2" t="s">
        <v>77</v>
      </c>
    </row>
    <row r="922">
      <c r="A922" s="2" t="s">
        <v>508</v>
      </c>
      <c r="B922" s="2" t="s">
        <v>834</v>
      </c>
      <c r="C922" s="2" t="s">
        <v>1276</v>
      </c>
      <c r="D922" s="3" t="str">
        <f>HYPERLINK("https://12go.asia/en/travel/lianyungang/fuyang", "12Go Link")</f>
        <v>12Go Link</v>
      </c>
      <c r="E922" s="2" t="s">
        <v>77</v>
      </c>
    </row>
    <row r="923">
      <c r="A923" s="2" t="s">
        <v>508</v>
      </c>
      <c r="B923" s="2" t="s">
        <v>854</v>
      </c>
      <c r="C923" s="2" t="s">
        <v>1277</v>
      </c>
      <c r="D923" s="3" t="str">
        <f>HYPERLINK("https://12go.asia/en/travel/lianyungang/fuyang-anhui", "12Go Link")</f>
        <v>12Go Link</v>
      </c>
      <c r="E923" s="2" t="s">
        <v>77</v>
      </c>
    </row>
    <row r="924">
      <c r="A924" s="2" t="s">
        <v>508</v>
      </c>
      <c r="B924" s="2" t="s">
        <v>1278</v>
      </c>
      <c r="C924" s="2" t="s">
        <v>1279</v>
      </c>
      <c r="D924" s="3" t="str">
        <f>HYPERLINK("https://12go.asia/en/travel/lianyungang/haining", "12Go Link")</f>
        <v>12Go Link</v>
      </c>
      <c r="E924" s="2" t="s">
        <v>77</v>
      </c>
    </row>
    <row r="925">
      <c r="A925" s="2" t="s">
        <v>508</v>
      </c>
      <c r="B925" s="2" t="s">
        <v>538</v>
      </c>
      <c r="C925" s="2" t="s">
        <v>1280</v>
      </c>
      <c r="D925" s="3" t="str">
        <f>HYPERLINK("https://12go.asia/en/travel/lianyungang/harbin", "12Go Link")</f>
        <v>12Go Link</v>
      </c>
      <c r="E925" s="2" t="s">
        <v>77</v>
      </c>
    </row>
    <row r="926">
      <c r="A926" s="2" t="s">
        <v>508</v>
      </c>
      <c r="B926" s="2" t="s">
        <v>538</v>
      </c>
      <c r="C926" s="2" t="s">
        <v>1281</v>
      </c>
      <c r="D926" s="3" t="str">
        <f>HYPERLINK("https://12go.asia/en/travel/lianyungang/harbin-west", "12Go Link")</f>
        <v>12Go Link</v>
      </c>
      <c r="E926" s="2" t="s">
        <v>77</v>
      </c>
    </row>
    <row r="927">
      <c r="A927" s="2" t="s">
        <v>508</v>
      </c>
      <c r="B927" s="2" t="s">
        <v>381</v>
      </c>
      <c r="C927" s="2" t="s">
        <v>1282</v>
      </c>
      <c r="D927" s="3" t="str">
        <f>HYPERLINK("https://12go.asia/en/travel/lianyungang/pujiangzhen", "12Go Link")</f>
        <v>12Go Link</v>
      </c>
      <c r="E927" s="2" t="s">
        <v>77</v>
      </c>
    </row>
    <row r="928">
      <c r="A928" s="2" t="s">
        <v>508</v>
      </c>
      <c r="B928" s="2" t="s">
        <v>514</v>
      </c>
      <c r="C928" s="2" t="s">
        <v>1283</v>
      </c>
      <c r="D928" s="3" t="str">
        <f>HYPERLINK("https://12go.asia/en/travel/lianyungang/qujing", "12Go Link")</f>
        <v>12Go Link</v>
      </c>
      <c r="E928" s="2" t="s">
        <v>77</v>
      </c>
    </row>
    <row r="929">
      <c r="A929" s="2" t="s">
        <v>508</v>
      </c>
      <c r="B929" s="2" t="s">
        <v>459</v>
      </c>
      <c r="C929" s="2" t="s">
        <v>1284</v>
      </c>
      <c r="D929" s="3" t="str">
        <f>HYPERLINK("https://12go.asia/en/travel/lianyungang/shanghai-south", "12Go Link")</f>
        <v>12Go Link</v>
      </c>
      <c r="E929" s="2" t="s">
        <v>77</v>
      </c>
    </row>
    <row r="930">
      <c r="A930" s="2" t="s">
        <v>508</v>
      </c>
      <c r="B930" s="2" t="s">
        <v>1285</v>
      </c>
      <c r="C930" s="2" t="s">
        <v>1286</v>
      </c>
      <c r="D930" s="3" t="str">
        <f>HYPERLINK("https://12go.asia/en/travel/lianyungang/tangshan", "12Go Link")</f>
        <v>12Go Link</v>
      </c>
      <c r="E930" s="2" t="s">
        <v>77</v>
      </c>
    </row>
    <row r="931">
      <c r="A931" s="2" t="s">
        <v>508</v>
      </c>
      <c r="B931" s="2" t="s">
        <v>786</v>
      </c>
      <c r="C931" s="2" t="s">
        <v>1287</v>
      </c>
      <c r="D931" s="3" t="str">
        <f>HYPERLINK("https://12go.asia/en/travel/lianyungang/pingyang", "12Go Link")</f>
        <v>12Go Link</v>
      </c>
      <c r="E931" s="2" t="s">
        <v>77</v>
      </c>
    </row>
    <row r="932">
      <c r="A932" s="2" t="s">
        <v>508</v>
      </c>
      <c r="B932" s="2" t="s">
        <v>786</v>
      </c>
      <c r="C932" s="2" t="s">
        <v>1288</v>
      </c>
      <c r="D932" s="3" t="str">
        <f>HYPERLINK("https://12go.asia/en/travel/lianyungang/wenzhou", "12Go Link")</f>
        <v>12Go Link</v>
      </c>
      <c r="E932" s="2" t="s">
        <v>77</v>
      </c>
    </row>
    <row r="933">
      <c r="A933" s="2" t="s">
        <v>508</v>
      </c>
      <c r="B933" s="2" t="s">
        <v>786</v>
      </c>
      <c r="C933" s="2" t="s">
        <v>1289</v>
      </c>
      <c r="D933" s="3" t="str">
        <f>HYPERLINK("https://12go.asia/en/travel/lianyungang/wenzhou-north", "12Go Link")</f>
        <v>12Go Link</v>
      </c>
      <c r="E933" s="2" t="s">
        <v>77</v>
      </c>
    </row>
    <row r="934">
      <c r="A934" s="2" t="s">
        <v>508</v>
      </c>
      <c r="B934" s="2" t="s">
        <v>786</v>
      </c>
      <c r="C934" s="2" t="s">
        <v>1290</v>
      </c>
      <c r="D934" s="3" t="str">
        <f>HYPERLINK("https://12go.asia/en/travel/lianyungang/wenzhou-south", "12Go Link")</f>
        <v>12Go Link</v>
      </c>
      <c r="E934" s="2" t="s">
        <v>77</v>
      </c>
    </row>
    <row r="935">
      <c r="A935" s="2" t="s">
        <v>508</v>
      </c>
      <c r="B935" s="2" t="s">
        <v>469</v>
      </c>
      <c r="C935" s="2" t="s">
        <v>1291</v>
      </c>
      <c r="D935" s="3" t="str">
        <f>HYPERLINK("https://12go.asia/en/travel/lianyungang-east/xian", "12Go Link")</f>
        <v>12Go Link</v>
      </c>
      <c r="E935" s="2" t="s">
        <v>77</v>
      </c>
    </row>
    <row r="936">
      <c r="A936" s="2" t="s">
        <v>508</v>
      </c>
      <c r="B936" s="2" t="s">
        <v>1022</v>
      </c>
      <c r="C936" s="2" t="s">
        <v>1292</v>
      </c>
      <c r="D936" s="3" t="str">
        <f>HYPERLINK("https://12go.asia/en/travel/lianyungang/xinyang", "12Go Link")</f>
        <v>12Go Link</v>
      </c>
      <c r="E936" s="2" t="s">
        <v>77</v>
      </c>
    </row>
    <row r="937">
      <c r="A937" s="2" t="s">
        <v>508</v>
      </c>
      <c r="B937" s="2" t="s">
        <v>1022</v>
      </c>
      <c r="C937" s="2" t="s">
        <v>1293</v>
      </c>
      <c r="D937" s="3" t="str">
        <f>HYPERLINK("https://12go.asia/en/travel/lianyungang/xinyang-east", "12Go Link")</f>
        <v>12Go Link</v>
      </c>
      <c r="E937" s="2" t="s">
        <v>77</v>
      </c>
    </row>
    <row r="938">
      <c r="A938" s="2" t="s">
        <v>508</v>
      </c>
      <c r="B938" s="2" t="s">
        <v>378</v>
      </c>
      <c r="C938" s="2" t="s">
        <v>1294</v>
      </c>
      <c r="D938" s="3" t="str">
        <f>HYPERLINK("https://12go.asia/en/travel/lianyungang/xunxian", "12Go Link")</f>
        <v>12Go Link</v>
      </c>
      <c r="E938" s="2" t="s">
        <v>77</v>
      </c>
    </row>
    <row r="939">
      <c r="A939" s="2" t="s">
        <v>652</v>
      </c>
      <c r="B939" s="2" t="s">
        <v>722</v>
      </c>
      <c r="C939" s="2" t="s">
        <v>1295</v>
      </c>
      <c r="D939" s="3" t="str">
        <f>HYPERLINK("https://12go.asia/en/travel/liaoning/huizhou", "12Go Link")</f>
        <v>12Go Link</v>
      </c>
      <c r="E939" s="2" t="s">
        <v>77</v>
      </c>
    </row>
    <row r="940">
      <c r="A940" s="2" t="s">
        <v>652</v>
      </c>
      <c r="B940" s="2" t="s">
        <v>724</v>
      </c>
      <c r="C940" s="2" t="s">
        <v>1296</v>
      </c>
      <c r="D940" s="3" t="str">
        <f>HYPERLINK("https://12go.asia/en/travel/liaoning/jiangbei", "12Go Link")</f>
        <v>12Go Link</v>
      </c>
      <c r="E940" s="2" t="s">
        <v>77</v>
      </c>
    </row>
    <row r="941">
      <c r="A941" s="2" t="s">
        <v>652</v>
      </c>
      <c r="B941" s="2" t="s">
        <v>726</v>
      </c>
      <c r="C941" s="2" t="s">
        <v>1297</v>
      </c>
      <c r="D941" s="3" t="str">
        <f>HYPERLINK("https://12go.asia/en/travel/liaoning/jiangjin", "12Go Link")</f>
        <v>12Go Link</v>
      </c>
      <c r="E941" s="2" t="s">
        <v>77</v>
      </c>
    </row>
    <row r="942">
      <c r="A942" s="2" t="s">
        <v>652</v>
      </c>
      <c r="B942" s="2" t="s">
        <v>728</v>
      </c>
      <c r="C942" s="2" t="s">
        <v>1298</v>
      </c>
      <c r="D942" s="3" t="str">
        <f>HYPERLINK("https://12go.asia/en/travel/liaoning/jiangxia", "12Go Link")</f>
        <v>12Go Link</v>
      </c>
      <c r="E942" s="2" t="s">
        <v>77</v>
      </c>
    </row>
    <row r="943">
      <c r="A943" s="2" t="s">
        <v>652</v>
      </c>
      <c r="B943" s="2" t="s">
        <v>730</v>
      </c>
      <c r="C943" s="2" t="s">
        <v>1299</v>
      </c>
      <c r="D943" s="3" t="str">
        <f>HYPERLINK("https://12go.asia/en/travel/liaoning/jiangyuan", "12Go Link")</f>
        <v>12Go Link</v>
      </c>
      <c r="E943" s="2" t="s">
        <v>77</v>
      </c>
    </row>
    <row r="944">
      <c r="A944" s="2" t="s">
        <v>652</v>
      </c>
      <c r="B944" s="2" t="s">
        <v>1300</v>
      </c>
      <c r="C944" s="2" t="s">
        <v>1301</v>
      </c>
      <c r="D944" s="3" t="str">
        <f>HYPERLINK("https://12go.asia/en/travel/liaoning/linfen", "12Go Link")</f>
        <v>12Go Link</v>
      </c>
      <c r="E944" s="2" t="s">
        <v>77</v>
      </c>
    </row>
    <row r="945">
      <c r="A945" s="2" t="s">
        <v>652</v>
      </c>
      <c r="B945" s="2" t="s">
        <v>420</v>
      </c>
      <c r="C945" s="2" t="s">
        <v>1302</v>
      </c>
      <c r="D945" s="3" t="str">
        <f>HYPERLINK("https://12go.asia/en/travel/liaoning/songjiang-shanghai", "12Go Link")</f>
        <v>12Go Link</v>
      </c>
      <c r="E945" s="2" t="s">
        <v>77</v>
      </c>
    </row>
    <row r="946">
      <c r="A946" s="2" t="s">
        <v>652</v>
      </c>
      <c r="B946" s="2" t="s">
        <v>656</v>
      </c>
      <c r="C946" s="2" t="s">
        <v>1303</v>
      </c>
      <c r="D946" s="3" t="str">
        <f>HYPERLINK("https://12go.asia/en/travel/liaoning/suihua", "12Go Link")</f>
        <v>12Go Link</v>
      </c>
      <c r="E946" s="2" t="s">
        <v>77</v>
      </c>
    </row>
    <row r="947">
      <c r="A947" s="2" t="s">
        <v>652</v>
      </c>
      <c r="B947" s="2" t="s">
        <v>1304</v>
      </c>
      <c r="C947" s="2" t="s">
        <v>1305</v>
      </c>
      <c r="D947" s="3" t="str">
        <f>HYPERLINK("https://12go.asia/en/travel/liaoning/tongzhou-jiangsu", "12Go Link")</f>
        <v>12Go Link</v>
      </c>
      <c r="E947" s="2" t="s">
        <v>77</v>
      </c>
    </row>
    <row r="948">
      <c r="A948" s="2" t="s">
        <v>652</v>
      </c>
      <c r="B948" s="2" t="s">
        <v>405</v>
      </c>
      <c r="C948" s="2" t="s">
        <v>1306</v>
      </c>
      <c r="D948" s="3" t="str">
        <f>HYPERLINK("https://12go.asia/en/travel/liaoning/zhangjiakou", "12Go Link")</f>
        <v>12Go Link</v>
      </c>
      <c r="E948" s="2" t="s">
        <v>77</v>
      </c>
    </row>
    <row r="949">
      <c r="A949" s="2" t="s">
        <v>1300</v>
      </c>
      <c r="B949" s="2" t="s">
        <v>1307</v>
      </c>
      <c r="C949" s="2" t="s">
        <v>1308</v>
      </c>
      <c r="D949" s="3" t="str">
        <f>HYPERLINK("https://12go.asia/en/travel/linfen/sanmenxia", "12Go Link")</f>
        <v>12Go Link</v>
      </c>
      <c r="E949" s="2" t="s">
        <v>77</v>
      </c>
    </row>
    <row r="950">
      <c r="A950" s="2" t="s">
        <v>1309</v>
      </c>
      <c r="B950" s="2" t="s">
        <v>1113</v>
      </c>
      <c r="C950" s="2" t="s">
        <v>1310</v>
      </c>
      <c r="D950" s="3" t="str">
        <f>HYPERLINK("https://12go.asia/en/travel/lufeng-guangdong/hong-kong-island", "12Go Link")</f>
        <v>12Go Link</v>
      </c>
      <c r="E950" s="2" t="s">
        <v>77</v>
      </c>
    </row>
    <row r="951">
      <c r="A951" s="2" t="s">
        <v>1309</v>
      </c>
      <c r="B951" s="2" t="s">
        <v>782</v>
      </c>
      <c r="C951" s="2" t="s">
        <v>1311</v>
      </c>
      <c r="D951" s="3" t="str">
        <f>HYPERLINK("https://12go.asia/en/travel/lufeng-guangdong/futian-shenzhen", "12Go Link")</f>
        <v>12Go Link</v>
      </c>
      <c r="E951" s="2" t="s">
        <v>77</v>
      </c>
    </row>
    <row r="952">
      <c r="A952" s="2" t="s">
        <v>1309</v>
      </c>
      <c r="B952" s="2" t="s">
        <v>782</v>
      </c>
      <c r="C952" s="2" t="s">
        <v>1312</v>
      </c>
      <c r="D952" s="3" t="str">
        <f>HYPERLINK("https://12go.asia/en/travel/lufeng-guangdong/shenzhen", "12Go Link")</f>
        <v>12Go Link</v>
      </c>
      <c r="E952" s="2" t="s">
        <v>77</v>
      </c>
    </row>
    <row r="953">
      <c r="A953" s="2" t="s">
        <v>1309</v>
      </c>
      <c r="B953" s="2" t="s">
        <v>782</v>
      </c>
      <c r="C953" s="2" t="s">
        <v>1313</v>
      </c>
      <c r="D953" s="3" t="str">
        <f>HYPERLINK("https://12go.asia/en/travel/lufeng-guangdong/shenzhen-north", "12Go Link")</f>
        <v>12Go Link</v>
      </c>
      <c r="E953" s="2" t="s">
        <v>77</v>
      </c>
    </row>
    <row r="954">
      <c r="A954" s="2" t="s">
        <v>1309</v>
      </c>
      <c r="B954" s="2" t="s">
        <v>1271</v>
      </c>
      <c r="C954" s="2" t="s">
        <v>1314</v>
      </c>
      <c r="D954" s="3" t="str">
        <f>HYPERLINK("https://12go.asia/en/travel/lufeng-guangdong/kowloon", "12Go Link")</f>
        <v>12Go Link</v>
      </c>
      <c r="E954" s="2" t="s">
        <v>77</v>
      </c>
    </row>
    <row r="955">
      <c r="A955" s="2" t="s">
        <v>693</v>
      </c>
      <c r="B955" s="2" t="s">
        <v>376</v>
      </c>
      <c r="C955" s="2" t="s">
        <v>1315</v>
      </c>
      <c r="D955" s="3" t="str">
        <f>HYPERLINK("https://12go.asia/en/travel/maoming/heilongjiang", "12Go Link")</f>
        <v>12Go Link</v>
      </c>
      <c r="E955" s="2" t="s">
        <v>77</v>
      </c>
    </row>
    <row r="956">
      <c r="A956" s="2" t="s">
        <v>693</v>
      </c>
      <c r="B956" s="2" t="s">
        <v>378</v>
      </c>
      <c r="C956" s="2" t="s">
        <v>1316</v>
      </c>
      <c r="D956" s="3" t="str">
        <f>HYPERLINK("https://12go.asia/en/travel/maoming/xunxian", "12Go Link")</f>
        <v>12Go Link</v>
      </c>
      <c r="E956" s="2" t="s">
        <v>77</v>
      </c>
    </row>
    <row r="957">
      <c r="A957" s="2" t="s">
        <v>693</v>
      </c>
      <c r="B957" s="2" t="s">
        <v>1317</v>
      </c>
      <c r="C957" s="2" t="s">
        <v>1318</v>
      </c>
      <c r="D957" s="3" t="str">
        <f>HYPERLINK("https://12go.asia/en/travel/maoming/yichun-jiangxi", "12Go Link")</f>
        <v>12Go Link</v>
      </c>
      <c r="E957" s="2" t="s">
        <v>77</v>
      </c>
    </row>
    <row r="958">
      <c r="A958" s="2" t="s">
        <v>693</v>
      </c>
      <c r="B958" s="2" t="s">
        <v>1319</v>
      </c>
      <c r="C958" s="2" t="s">
        <v>1320</v>
      </c>
      <c r="D958" s="3" t="str">
        <f>HYPERLINK("https://12go.asia/en/travel/maoming/yueyang", "12Go Link")</f>
        <v>12Go Link</v>
      </c>
      <c r="E958" s="2" t="s">
        <v>77</v>
      </c>
    </row>
    <row r="959">
      <c r="A959" s="2" t="s">
        <v>693</v>
      </c>
      <c r="B959" s="2" t="s">
        <v>1319</v>
      </c>
      <c r="C959" s="2" t="s">
        <v>1321</v>
      </c>
      <c r="D959" s="3" t="str">
        <f>HYPERLINK("https://12go.asia/en/travel/maoming/yueyang-east", "12Go Link")</f>
        <v>12Go Link</v>
      </c>
      <c r="E959" s="2" t="s">
        <v>77</v>
      </c>
    </row>
    <row r="960">
      <c r="A960" s="2" t="s">
        <v>582</v>
      </c>
      <c r="B960" s="2" t="s">
        <v>1043</v>
      </c>
      <c r="C960" s="2" t="s">
        <v>1322</v>
      </c>
      <c r="D960" s="3" t="str">
        <f>HYPERLINK("https://12go.asia/en/travel/meizhou-west/hong-kong-west-kowloon", "12Go Link")</f>
        <v>12Go Link</v>
      </c>
      <c r="E960" s="2" t="s">
        <v>77</v>
      </c>
    </row>
    <row r="961">
      <c r="A961" s="2" t="s">
        <v>582</v>
      </c>
      <c r="B961" s="2" t="s">
        <v>1043</v>
      </c>
      <c r="C961" s="2" t="s">
        <v>1323</v>
      </c>
      <c r="D961" s="3" t="str">
        <f>HYPERLINK("https://12go.asia/en/travel/meizhou/hong-kong-west-kowloon", "12Go Link")</f>
        <v>12Go Link</v>
      </c>
      <c r="E961" s="2" t="s">
        <v>77</v>
      </c>
    </row>
    <row r="962">
      <c r="A962" s="2" t="s">
        <v>1324</v>
      </c>
      <c r="B962" s="2" t="s">
        <v>782</v>
      </c>
      <c r="C962" s="2" t="s">
        <v>1325</v>
      </c>
      <c r="D962" s="3" t="str">
        <f>HYPERLINK("https://12go.asia/en/travel/guanzhaishan-south/shenzhen-north", "12Go Link")</f>
        <v>12Go Link</v>
      </c>
      <c r="E962" s="2" t="s">
        <v>77</v>
      </c>
    </row>
    <row r="963">
      <c r="A963" s="2" t="s">
        <v>1324</v>
      </c>
      <c r="B963" s="2" t="s">
        <v>782</v>
      </c>
      <c r="C963" s="2" t="s">
        <v>1326</v>
      </c>
      <c r="D963" s="3" t="str">
        <f>HYPERLINK("https://12go.asia/en/travel/mianning/shenzhen", "12Go Link")</f>
        <v>12Go Link</v>
      </c>
      <c r="E963" s="2" t="s">
        <v>77</v>
      </c>
    </row>
    <row r="964">
      <c r="A964" s="2" t="s">
        <v>558</v>
      </c>
      <c r="B964" s="2" t="s">
        <v>538</v>
      </c>
      <c r="C964" s="2" t="s">
        <v>1327</v>
      </c>
      <c r="D964" s="3" t="str">
        <f>HYPERLINK("https://12go.asia/en/travel/nanchang/harbin-west", "12Go Link")</f>
        <v>12Go Link</v>
      </c>
      <c r="E964" s="2" t="s">
        <v>77</v>
      </c>
    </row>
    <row r="965">
      <c r="A965" s="2" t="s">
        <v>454</v>
      </c>
      <c r="B965" s="2" t="s">
        <v>746</v>
      </c>
      <c r="C965" s="2" t="s">
        <v>1328</v>
      </c>
      <c r="D965" s="3" t="str">
        <f>HYPERLINK("https://12go.asia/en/travel/nanjing/hangzhou-west", "12Go Link")</f>
        <v>12Go Link</v>
      </c>
      <c r="E965" s="2" t="s">
        <v>77</v>
      </c>
    </row>
    <row r="966">
      <c r="A966" s="2" t="s">
        <v>454</v>
      </c>
      <c r="B966" s="2" t="s">
        <v>1153</v>
      </c>
      <c r="C966" s="2" t="s">
        <v>1329</v>
      </c>
      <c r="D966" s="3" t="str">
        <f>HYPERLINK("https://12go.asia/en/travel/nanjing-south/jieshou-south", "12Go Link")</f>
        <v>12Go Link</v>
      </c>
      <c r="E966" s="2" t="s">
        <v>77</v>
      </c>
    </row>
    <row r="967">
      <c r="A967" s="2" t="s">
        <v>454</v>
      </c>
      <c r="B967" s="2" t="s">
        <v>1153</v>
      </c>
      <c r="C967" s="2" t="s">
        <v>1330</v>
      </c>
      <c r="D967" s="3" t="str">
        <f>HYPERLINK("https://12go.asia/en/travel/nanjing/jieshou", "12Go Link")</f>
        <v>12Go Link</v>
      </c>
      <c r="E967" s="2" t="s">
        <v>77</v>
      </c>
    </row>
    <row r="968">
      <c r="A968" s="2" t="s">
        <v>454</v>
      </c>
      <c r="B968" s="2" t="s">
        <v>1153</v>
      </c>
      <c r="C968" s="2" t="s">
        <v>1331</v>
      </c>
      <c r="D968" s="3" t="str">
        <f>HYPERLINK("https://12go.asia/en/travel/nanjing/jieshoushi", "12Go Link")</f>
        <v>12Go Link</v>
      </c>
      <c r="E968" s="2" t="s">
        <v>77</v>
      </c>
    </row>
    <row r="969">
      <c r="A969" s="2" t="s">
        <v>454</v>
      </c>
      <c r="B969" s="2" t="s">
        <v>1093</v>
      </c>
      <c r="C969" s="2" t="s">
        <v>1332</v>
      </c>
      <c r="D969" s="3" t="str">
        <f>HYPERLINK("https://12go.asia/en/travel/nanjing-south/loudi-south", "12Go Link")</f>
        <v>12Go Link</v>
      </c>
      <c r="E969" s="2" t="s">
        <v>77</v>
      </c>
    </row>
    <row r="970">
      <c r="A970" s="2" t="s">
        <v>454</v>
      </c>
      <c r="B970" s="2" t="s">
        <v>511</v>
      </c>
      <c r="C970" s="2" t="s">
        <v>1333</v>
      </c>
      <c r="D970" s="3" t="str">
        <f>HYPERLINK("https://12go.asia/en/travel/nanjing-south/pingyao-ancient-city", "12Go Link")</f>
        <v>12Go Link</v>
      </c>
      <c r="E970" s="2" t="s">
        <v>77</v>
      </c>
    </row>
    <row r="971">
      <c r="A971" s="2" t="s">
        <v>454</v>
      </c>
      <c r="B971" s="2" t="s">
        <v>1334</v>
      </c>
      <c r="C971" s="2" t="s">
        <v>1335</v>
      </c>
      <c r="D971" s="3" t="str">
        <f>HYPERLINK("https://12go.asia/en/travel/nanjing/tibet", "12Go Link")</f>
        <v>12Go Link</v>
      </c>
      <c r="E971" s="2" t="s">
        <v>77</v>
      </c>
    </row>
    <row r="972">
      <c r="A972" s="2" t="s">
        <v>454</v>
      </c>
      <c r="B972" s="2" t="s">
        <v>575</v>
      </c>
      <c r="C972" s="2" t="s">
        <v>1336</v>
      </c>
      <c r="D972" s="3" t="str">
        <f>HYPERLINK("https://12go.asia/en/travel/nanjing-south/zhangjiagang", "12Go Link")</f>
        <v>12Go Link</v>
      </c>
      <c r="E972" s="2" t="s">
        <v>77</v>
      </c>
    </row>
    <row r="973">
      <c r="A973" s="2" t="s">
        <v>454</v>
      </c>
      <c r="B973" s="2" t="s">
        <v>575</v>
      </c>
      <c r="C973" s="2" t="s">
        <v>1337</v>
      </c>
      <c r="D973" s="3" t="str">
        <f>HYPERLINK("https://12go.asia/en/travel/nanjing/zhangjiagang", "12Go Link")</f>
        <v>12Go Link</v>
      </c>
      <c r="E973" s="2" t="s">
        <v>77</v>
      </c>
    </row>
    <row r="974">
      <c r="A974" s="2" t="s">
        <v>454</v>
      </c>
      <c r="B974" s="2" t="s">
        <v>993</v>
      </c>
      <c r="C974" s="2" t="s">
        <v>1338</v>
      </c>
      <c r="D974" s="3" t="str">
        <f>HYPERLINK("https://12go.asia/en/travel/nanjing-south/zibo", "12Go Link")</f>
        <v>12Go Link</v>
      </c>
      <c r="E974" s="2" t="s">
        <v>77</v>
      </c>
    </row>
    <row r="975">
      <c r="A975" s="2" t="s">
        <v>454</v>
      </c>
      <c r="B975" s="2" t="s">
        <v>993</v>
      </c>
      <c r="C975" s="2" t="s">
        <v>1339</v>
      </c>
      <c r="D975" s="3" t="str">
        <f>HYPERLINK("https://12go.asia/en/travel/nanjing-south/zibo-north", "12Go Link")</f>
        <v>12Go Link</v>
      </c>
      <c r="E975" s="2" t="s">
        <v>77</v>
      </c>
    </row>
    <row r="976">
      <c r="A976" s="2" t="s">
        <v>845</v>
      </c>
      <c r="B976" s="2" t="s">
        <v>870</v>
      </c>
      <c r="C976" s="2" t="s">
        <v>1340</v>
      </c>
      <c r="D976" s="3" t="str">
        <f>HYPERLINK("https://12go.asia/en/travel/nanning/guangzhoubaiyun", "12Go Link")</f>
        <v>12Go Link</v>
      </c>
      <c r="E976" s="2" t="s">
        <v>77</v>
      </c>
    </row>
    <row r="977">
      <c r="A977" s="2" t="s">
        <v>845</v>
      </c>
      <c r="B977" s="2" t="s">
        <v>1341</v>
      </c>
      <c r="C977" s="2" t="s">
        <v>1342</v>
      </c>
      <c r="D977" s="3" t="str">
        <f>HYPERLINK("https://12go.asia/en/travel/nanning/qinzhou", "12Go Link")</f>
        <v>12Go Link</v>
      </c>
      <c r="E977" s="2" t="s">
        <v>77</v>
      </c>
    </row>
    <row r="978">
      <c r="A978" s="2" t="s">
        <v>1343</v>
      </c>
      <c r="B978" s="2" t="s">
        <v>782</v>
      </c>
      <c r="C978" s="2" t="s">
        <v>1344</v>
      </c>
      <c r="D978" s="3" t="str">
        <f>HYPERLINK("https://12go.asia/en/travel/nanping/shenzhen", "12Go Link")</f>
        <v>12Go Link</v>
      </c>
      <c r="E978" s="2" t="s">
        <v>77</v>
      </c>
    </row>
    <row r="979">
      <c r="A979" s="2" t="s">
        <v>1343</v>
      </c>
      <c r="B979" s="2" t="s">
        <v>782</v>
      </c>
      <c r="C979" s="2" t="s">
        <v>1345</v>
      </c>
      <c r="D979" s="3" t="str">
        <f>HYPERLINK("https://12go.asia/en/travel/nanpingshi/shenzhen-north", "12Go Link")</f>
        <v>12Go Link</v>
      </c>
      <c r="E979" s="2" t="s">
        <v>77</v>
      </c>
    </row>
    <row r="980">
      <c r="A980" s="2" t="s">
        <v>1346</v>
      </c>
      <c r="B980" s="2" t="s">
        <v>412</v>
      </c>
      <c r="C980" s="2" t="s">
        <v>1347</v>
      </c>
      <c r="D980" s="3" t="str">
        <f>HYPERLINK("https://12go.asia/en/travel/nantong/gaocheng", "12Go Link")</f>
        <v>12Go Link</v>
      </c>
      <c r="E980" s="2" t="s">
        <v>77</v>
      </c>
    </row>
    <row r="981">
      <c r="A981" s="2" t="s">
        <v>1346</v>
      </c>
      <c r="B981" s="2" t="s">
        <v>412</v>
      </c>
      <c r="C981" s="2" t="s">
        <v>1348</v>
      </c>
      <c r="D981" s="3" t="str">
        <f>HYPERLINK("https://12go.asia/en/travel/nantong/gaocheng-south", "12Go Link")</f>
        <v>12Go Link</v>
      </c>
      <c r="E981" s="2" t="s">
        <v>77</v>
      </c>
    </row>
    <row r="982">
      <c r="A982" s="2" t="s">
        <v>1346</v>
      </c>
      <c r="B982" s="2" t="s">
        <v>420</v>
      </c>
      <c r="C982" s="2" t="s">
        <v>1349</v>
      </c>
      <c r="D982" s="3" t="str">
        <f>HYPERLINK("https://12go.asia/en/travel/nantong/shanghai-songjiang", "12Go Link")</f>
        <v>12Go Link</v>
      </c>
      <c r="E982" s="2" t="s">
        <v>77</v>
      </c>
    </row>
    <row r="983">
      <c r="A983" s="2" t="s">
        <v>1346</v>
      </c>
      <c r="B983" s="2" t="s">
        <v>420</v>
      </c>
      <c r="C983" s="2" t="s">
        <v>1350</v>
      </c>
      <c r="D983" s="3" t="str">
        <f>HYPERLINK("https://12go.asia/en/travel/nantong/songjiang-shanghai", "12Go Link")</f>
        <v>12Go Link</v>
      </c>
      <c r="E983" s="2" t="s">
        <v>77</v>
      </c>
    </row>
    <row r="984">
      <c r="A984" s="2" t="s">
        <v>1351</v>
      </c>
      <c r="B984" s="2" t="s">
        <v>402</v>
      </c>
      <c r="C984" s="2" t="s">
        <v>1352</v>
      </c>
      <c r="D984" s="3" t="str">
        <f>HYPERLINK("https://12go.asia/en/travel/nanyang/baoding", "12Go Link")</f>
        <v>12Go Link</v>
      </c>
      <c r="E984" s="2" t="s">
        <v>77</v>
      </c>
    </row>
    <row r="985">
      <c r="A985" s="2" t="s">
        <v>1351</v>
      </c>
      <c r="B985" s="2" t="s">
        <v>587</v>
      </c>
      <c r="C985" s="2" t="s">
        <v>1353</v>
      </c>
      <c r="D985" s="3" t="str">
        <f>HYPERLINK("https://12go.asia/en/travel/nanyang/changzhi", "12Go Link")</f>
        <v>12Go Link</v>
      </c>
      <c r="E985" s="2" t="s">
        <v>77</v>
      </c>
    </row>
    <row r="986">
      <c r="A986" s="2" t="s">
        <v>1351</v>
      </c>
      <c r="B986" s="2" t="s">
        <v>587</v>
      </c>
      <c r="C986" s="2" t="s">
        <v>1354</v>
      </c>
      <c r="D986" s="3" t="str">
        <f>HYPERLINK("https://12go.asia/en/travel/nanyang/changzhi-north", "12Go Link")</f>
        <v>12Go Link</v>
      </c>
      <c r="E986" s="2" t="s">
        <v>77</v>
      </c>
    </row>
    <row r="987">
      <c r="A987" s="2" t="s">
        <v>1351</v>
      </c>
      <c r="B987" s="2" t="s">
        <v>1355</v>
      </c>
      <c r="C987" s="2" t="s">
        <v>1356</v>
      </c>
      <c r="D987" s="3" t="str">
        <f>HYPERLINK("https://12go.asia/en/travel/nanyang/hengyang", "12Go Link")</f>
        <v>12Go Link</v>
      </c>
      <c r="E987" s="2" t="s">
        <v>77</v>
      </c>
    </row>
    <row r="988">
      <c r="A988" s="2" t="s">
        <v>1351</v>
      </c>
      <c r="B988" s="2" t="s">
        <v>724</v>
      </c>
      <c r="C988" s="2" t="s">
        <v>1357</v>
      </c>
      <c r="D988" s="3" t="str">
        <f>HYPERLINK("https://12go.asia/en/travel/nanyang/jiangbei", "12Go Link")</f>
        <v>12Go Link</v>
      </c>
      <c r="E988" s="2" t="s">
        <v>77</v>
      </c>
    </row>
    <row r="989">
      <c r="A989" s="2" t="s">
        <v>1351</v>
      </c>
      <c r="B989" s="2" t="s">
        <v>726</v>
      </c>
      <c r="C989" s="2" t="s">
        <v>1358</v>
      </c>
      <c r="D989" s="3" t="str">
        <f>HYPERLINK("https://12go.asia/en/travel/nanyang/jiangjin", "12Go Link")</f>
        <v>12Go Link</v>
      </c>
      <c r="E989" s="2" t="s">
        <v>77</v>
      </c>
    </row>
    <row r="990">
      <c r="A990" s="2" t="s">
        <v>1351</v>
      </c>
      <c r="B990" s="2" t="s">
        <v>730</v>
      </c>
      <c r="C990" s="2" t="s">
        <v>1359</v>
      </c>
      <c r="D990" s="3" t="str">
        <f>HYPERLINK("https://12go.asia/en/travel/nanyang/jiangyuan", "12Go Link")</f>
        <v>12Go Link</v>
      </c>
      <c r="E990" s="2" t="s">
        <v>77</v>
      </c>
    </row>
    <row r="991">
      <c r="A991" s="2" t="s">
        <v>1351</v>
      </c>
      <c r="B991" s="2" t="s">
        <v>420</v>
      </c>
      <c r="C991" s="2" t="s">
        <v>1360</v>
      </c>
      <c r="D991" s="3" t="str">
        <f>HYPERLINK("https://12go.asia/en/travel/nanyang/shanghai-songjiang", "12Go Link")</f>
        <v>12Go Link</v>
      </c>
      <c r="E991" s="2" t="s">
        <v>77</v>
      </c>
    </row>
    <row r="992">
      <c r="A992" s="2" t="s">
        <v>1351</v>
      </c>
      <c r="B992" s="2" t="s">
        <v>420</v>
      </c>
      <c r="C992" s="2" t="s">
        <v>1361</v>
      </c>
      <c r="D992" s="3" t="str">
        <f>HYPERLINK("https://12go.asia/en/travel/nanyang/songjiang-shanghai", "12Go Link")</f>
        <v>12Go Link</v>
      </c>
      <c r="E992" s="2" t="s">
        <v>77</v>
      </c>
    </row>
    <row r="993">
      <c r="A993" s="2" t="s">
        <v>1362</v>
      </c>
      <c r="B993" s="2" t="s">
        <v>804</v>
      </c>
      <c r="C993" s="2" t="s">
        <v>1363</v>
      </c>
      <c r="D993" s="3" t="str">
        <f>HYPERLINK("https://12go.asia/en/travel/neijiang-north/fushun", "12Go Link")</f>
        <v>12Go Link</v>
      </c>
      <c r="E993" s="2" t="s">
        <v>77</v>
      </c>
    </row>
    <row r="994">
      <c r="A994" s="2" t="s">
        <v>1362</v>
      </c>
      <c r="B994" s="2" t="s">
        <v>804</v>
      </c>
      <c r="C994" s="2" t="s">
        <v>1364</v>
      </c>
      <c r="D994" s="3" t="str">
        <f>HYPERLINK("https://12go.asia/en/travel/neijiang/fushun", "12Go Link")</f>
        <v>12Go Link</v>
      </c>
      <c r="E994" s="2" t="s">
        <v>77</v>
      </c>
    </row>
    <row r="995">
      <c r="A995" s="2" t="s">
        <v>1362</v>
      </c>
      <c r="B995" s="2" t="s">
        <v>486</v>
      </c>
      <c r="C995" s="2" t="s">
        <v>1365</v>
      </c>
      <c r="D995" s="3" t="str">
        <f>HYPERLINK("https://12go.asia/en/travel/neijiang-north/zigong", "12Go Link")</f>
        <v>12Go Link</v>
      </c>
      <c r="E995" s="2" t="s">
        <v>77</v>
      </c>
    </row>
    <row r="996">
      <c r="A996" s="2" t="s">
        <v>1362</v>
      </c>
      <c r="B996" s="2" t="s">
        <v>1366</v>
      </c>
      <c r="C996" s="2" t="s">
        <v>1367</v>
      </c>
      <c r="D996" s="3" t="str">
        <f>HYPERLINK("https://12go.asia/en/travel/neijiang-north/yantan", "12Go Link")</f>
        <v>12Go Link</v>
      </c>
      <c r="E996" s="2" t="s">
        <v>77</v>
      </c>
    </row>
    <row r="997">
      <c r="A997" s="2" t="s">
        <v>1362</v>
      </c>
      <c r="B997" s="2" t="s">
        <v>1366</v>
      </c>
      <c r="C997" s="2" t="s">
        <v>1368</v>
      </c>
      <c r="D997" s="3" t="str">
        <f>HYPERLINK("https://12go.asia/en/travel/neijiang/yantan", "12Go Link")</f>
        <v>12Go Link</v>
      </c>
      <c r="E997" s="2" t="s">
        <v>77</v>
      </c>
    </row>
    <row r="998">
      <c r="A998" s="2" t="s">
        <v>772</v>
      </c>
      <c r="B998" s="2" t="s">
        <v>381</v>
      </c>
      <c r="C998" s="2" t="s">
        <v>1369</v>
      </c>
      <c r="D998" s="3" t="str">
        <f>HYPERLINK("https://12go.asia/en/travel/ningbo/pujiangzhen", "12Go Link")</f>
        <v>12Go Link</v>
      </c>
      <c r="E998" s="2" t="s">
        <v>77</v>
      </c>
    </row>
    <row r="999">
      <c r="A999" s="2" t="s">
        <v>772</v>
      </c>
      <c r="B999" s="2" t="s">
        <v>514</v>
      </c>
      <c r="C999" s="2" t="s">
        <v>1370</v>
      </c>
      <c r="D999" s="3" t="str">
        <f>HYPERLINK("https://12go.asia/en/travel/ningbo/qujing", "12Go Link")</f>
        <v>12Go Link</v>
      </c>
      <c r="E999" s="2" t="s">
        <v>77</v>
      </c>
    </row>
    <row r="1000">
      <c r="A1000" s="2" t="s">
        <v>982</v>
      </c>
      <c r="B1000" s="2" t="s">
        <v>716</v>
      </c>
      <c r="C1000" s="2" t="s">
        <v>1371</v>
      </c>
      <c r="D1000" s="3" t="str">
        <f>HYPERLINK("https://12go.asia/en/travel/ningde/quanzhou", "12Go Link")</f>
        <v>12Go Link</v>
      </c>
      <c r="E1000" s="2" t="s">
        <v>77</v>
      </c>
    </row>
    <row r="1001">
      <c r="A1001" s="2" t="s">
        <v>982</v>
      </c>
      <c r="B1001" s="2" t="s">
        <v>471</v>
      </c>
      <c r="C1001" s="2" t="s">
        <v>1372</v>
      </c>
      <c r="D1001" s="3" t="str">
        <f>HYPERLINK("https://12go.asia/en/travel/ningde/xihu", "12Go Link")</f>
        <v>12Go Link</v>
      </c>
      <c r="E1001" s="2" t="s">
        <v>77</v>
      </c>
    </row>
    <row r="1002">
      <c r="A1002" s="2" t="s">
        <v>1174</v>
      </c>
      <c r="B1002" s="2" t="s">
        <v>450</v>
      </c>
      <c r="C1002" s="2" t="s">
        <v>1373</v>
      </c>
      <c r="D1002" s="3" t="str">
        <f>HYPERLINK("https://12go.asia/en/travel/panjin/jiangning", "12Go Link")</f>
        <v>12Go Link</v>
      </c>
      <c r="E1002" s="2" t="s">
        <v>77</v>
      </c>
    </row>
    <row r="1003">
      <c r="A1003" s="2" t="s">
        <v>1174</v>
      </c>
      <c r="B1003" s="2" t="s">
        <v>452</v>
      </c>
      <c r="C1003" s="2" t="s">
        <v>1374</v>
      </c>
      <c r="D1003" s="3" t="str">
        <f>HYPERLINK("https://12go.asia/en/travel/panjin/jiangsu", "12Go Link")</f>
        <v>12Go Link</v>
      </c>
      <c r="E1003" s="2" t="s">
        <v>77</v>
      </c>
    </row>
    <row r="1004">
      <c r="A1004" s="2" t="s">
        <v>1174</v>
      </c>
      <c r="B1004" s="2" t="s">
        <v>454</v>
      </c>
      <c r="C1004" s="2" t="s">
        <v>1375</v>
      </c>
      <c r="D1004" s="3" t="str">
        <f>HYPERLINK("https://12go.asia/en/travel/panjin/nanjing", "12Go Link")</f>
        <v>12Go Link</v>
      </c>
      <c r="E1004" s="2" t="s">
        <v>77</v>
      </c>
    </row>
    <row r="1005">
      <c r="A1005" s="2" t="s">
        <v>1174</v>
      </c>
      <c r="B1005" s="2" t="s">
        <v>454</v>
      </c>
      <c r="C1005" s="2" t="s">
        <v>1376</v>
      </c>
      <c r="D1005" s="3" t="str">
        <f>HYPERLINK("https://12go.asia/en/travel/panjin/nanjing-south", "12Go Link")</f>
        <v>12Go Link</v>
      </c>
      <c r="E1005" s="2" t="s">
        <v>77</v>
      </c>
    </row>
    <row r="1006">
      <c r="A1006" s="2" t="s">
        <v>1377</v>
      </c>
      <c r="B1006" s="2" t="s">
        <v>598</v>
      </c>
      <c r="C1006" s="2" t="s">
        <v>1378</v>
      </c>
      <c r="D1006" s="3" t="str">
        <f>HYPERLINK("https://12go.asia/en/travel/pingliang/huashan", "12Go Link")</f>
        <v>12Go Link</v>
      </c>
      <c r="E1006" s="2" t="s">
        <v>77</v>
      </c>
    </row>
    <row r="1007">
      <c r="A1007" s="2" t="s">
        <v>1379</v>
      </c>
      <c r="B1007" s="2" t="s">
        <v>459</v>
      </c>
      <c r="C1007" s="2" t="s">
        <v>1380</v>
      </c>
      <c r="D1007" s="3" t="str">
        <f>HYPERLINK("https://12go.asia/en/travel/pingxiang-north/shanghai-hongqiao", "12Go Link")</f>
        <v>12Go Link</v>
      </c>
      <c r="E1007" s="2" t="s">
        <v>77</v>
      </c>
    </row>
    <row r="1008">
      <c r="A1008" s="2" t="s">
        <v>511</v>
      </c>
      <c r="B1008" s="2" t="s">
        <v>623</v>
      </c>
      <c r="C1008" s="2" t="s">
        <v>1381</v>
      </c>
      <c r="D1008" s="3" t="str">
        <f>HYPERLINK("https://12go.asia/en/travel/pingyao-ancient-city/chongqing-north", "12Go Link")</f>
        <v>12Go Link</v>
      </c>
      <c r="E1008" s="2" t="s">
        <v>77</v>
      </c>
    </row>
    <row r="1009">
      <c r="A1009" s="2" t="s">
        <v>511</v>
      </c>
      <c r="B1009" s="2" t="s">
        <v>623</v>
      </c>
      <c r="C1009" s="2" t="s">
        <v>1382</v>
      </c>
      <c r="D1009" s="3" t="str">
        <f>HYPERLINK("https://12go.asia/en/travel/pingyao/chongqing", "12Go Link")</f>
        <v>12Go Link</v>
      </c>
      <c r="E1009" s="2" t="s">
        <v>77</v>
      </c>
    </row>
    <row r="1010">
      <c r="A1010" s="2" t="s">
        <v>1383</v>
      </c>
      <c r="B1010" s="2" t="s">
        <v>461</v>
      </c>
      <c r="C1010" s="2" t="s">
        <v>1384</v>
      </c>
      <c r="D1010" s="3" t="str">
        <f>HYPERLINK("https://12go.asia/en/travel/pujiang/shanghai-hongqiao-airport", "12Go Link")</f>
        <v>12Go Link</v>
      </c>
      <c r="E1010" s="2" t="s">
        <v>77</v>
      </c>
    </row>
    <row r="1011">
      <c r="A1011" s="2" t="s">
        <v>381</v>
      </c>
      <c r="B1011" s="2" t="s">
        <v>380</v>
      </c>
      <c r="C1011" s="2" t="s">
        <v>1385</v>
      </c>
      <c r="D1011" s="3" t="str">
        <f>HYPERLINK("https://12go.asia/en/travel/pujiangzhen/anhui", "12Go Link")</f>
        <v>12Go Link</v>
      </c>
      <c r="E1011" s="2" t="s">
        <v>77</v>
      </c>
    </row>
    <row r="1012">
      <c r="A1012" s="2" t="s">
        <v>381</v>
      </c>
      <c r="B1012" s="2" t="s">
        <v>491</v>
      </c>
      <c r="C1012" s="2" t="s">
        <v>1386</v>
      </c>
      <c r="D1012" s="3" t="str">
        <f>HYPERLINK("https://12go.asia/en/travel/pujiangzhen/beijing", "12Go Link")</f>
        <v>12Go Link</v>
      </c>
      <c r="E1012" s="2" t="s">
        <v>77</v>
      </c>
    </row>
    <row r="1013">
      <c r="A1013" s="2" t="s">
        <v>381</v>
      </c>
      <c r="B1013" s="2" t="s">
        <v>392</v>
      </c>
      <c r="C1013" s="2" t="s">
        <v>1387</v>
      </c>
      <c r="D1013" s="3" t="str">
        <f>HYPERLINK("https://12go.asia/en/travel/pujiangzhen/changzhou", "12Go Link")</f>
        <v>12Go Link</v>
      </c>
      <c r="E1013" s="2" t="s">
        <v>77</v>
      </c>
    </row>
    <row r="1014">
      <c r="A1014" s="2" t="s">
        <v>381</v>
      </c>
      <c r="B1014" s="2" t="s">
        <v>710</v>
      </c>
      <c r="C1014" s="2" t="s">
        <v>1388</v>
      </c>
      <c r="D1014" s="3" t="str">
        <f>HYPERLINK("https://12go.asia/en/travel/pujiangzhen/fuding", "12Go Link")</f>
        <v>12Go Link</v>
      </c>
      <c r="E1014" s="2" t="s">
        <v>77</v>
      </c>
    </row>
    <row r="1015">
      <c r="A1015" s="2" t="s">
        <v>381</v>
      </c>
      <c r="B1015" s="2" t="s">
        <v>720</v>
      </c>
      <c r="C1015" s="2" t="s">
        <v>1389</v>
      </c>
      <c r="D1015" s="3" t="str">
        <f>HYPERLINK("https://12go.asia/en/travel/pujiangzhen/fujian", "12Go Link")</f>
        <v>12Go Link</v>
      </c>
      <c r="E1015" s="2" t="s">
        <v>77</v>
      </c>
    </row>
    <row r="1016">
      <c r="A1016" s="2" t="s">
        <v>381</v>
      </c>
      <c r="B1016" s="2" t="s">
        <v>854</v>
      </c>
      <c r="C1016" s="2" t="s">
        <v>1390</v>
      </c>
      <c r="D1016" s="3" t="str">
        <f>HYPERLINK("https://12go.asia/en/travel/pujiangzhen/fuyang-anhui", "12Go Link")</f>
        <v>12Go Link</v>
      </c>
      <c r="E1016" s="2" t="s">
        <v>77</v>
      </c>
    </row>
    <row r="1017">
      <c r="A1017" s="2" t="s">
        <v>381</v>
      </c>
      <c r="B1017" s="2" t="s">
        <v>742</v>
      </c>
      <c r="C1017" s="2" t="s">
        <v>1391</v>
      </c>
      <c r="D1017" s="3" t="str">
        <f>HYPERLINK("https://12go.asia/en/travel/pujiangzhen/fuzhou", "12Go Link")</f>
        <v>12Go Link</v>
      </c>
      <c r="E1017" s="2" t="s">
        <v>77</v>
      </c>
    </row>
    <row r="1018">
      <c r="A1018" s="2" t="s">
        <v>381</v>
      </c>
      <c r="B1018" s="2" t="s">
        <v>368</v>
      </c>
      <c r="C1018" s="2" t="s">
        <v>1392</v>
      </c>
      <c r="D1018" s="3" t="str">
        <f>HYPERLINK("https://12go.asia/en/travel/pujiangzhen/gansu", "12Go Link")</f>
        <v>12Go Link</v>
      </c>
      <c r="E1018" s="2" t="s">
        <v>77</v>
      </c>
    </row>
    <row r="1019">
      <c r="A1019" s="2" t="s">
        <v>381</v>
      </c>
      <c r="B1019" s="2" t="s">
        <v>750</v>
      </c>
      <c r="C1019" s="2" t="s">
        <v>1393</v>
      </c>
      <c r="D1019" s="3" t="str">
        <f>HYPERLINK("https://12go.asia/en/travel/pujiangzhen/henan", "12Go Link")</f>
        <v>12Go Link</v>
      </c>
      <c r="E1019" s="2" t="s">
        <v>77</v>
      </c>
    </row>
    <row r="1020">
      <c r="A1020" s="2" t="s">
        <v>381</v>
      </c>
      <c r="B1020" s="2" t="s">
        <v>1394</v>
      </c>
      <c r="C1020" s="2" t="s">
        <v>1395</v>
      </c>
      <c r="D1020" s="3" t="str">
        <f>HYPERLINK("https://12go.asia/en/travel/pujiangzhen/huaian", "12Go Link")</f>
        <v>12Go Link</v>
      </c>
      <c r="E1020" s="2" t="s">
        <v>77</v>
      </c>
    </row>
    <row r="1021">
      <c r="A1021" s="2" t="s">
        <v>381</v>
      </c>
      <c r="B1021" s="2" t="s">
        <v>495</v>
      </c>
      <c r="C1021" s="2" t="s">
        <v>1396</v>
      </c>
      <c r="D1021" s="3" t="str">
        <f>HYPERLINK("https://12go.asia/en/travel/pujiangzhen/huainan", "12Go Link")</f>
        <v>12Go Link</v>
      </c>
      <c r="E1021" s="2" t="s">
        <v>77</v>
      </c>
    </row>
    <row r="1022">
      <c r="A1022" s="2" t="s">
        <v>381</v>
      </c>
      <c r="B1022" s="2" t="s">
        <v>1397</v>
      </c>
      <c r="C1022" s="2" t="s">
        <v>1398</v>
      </c>
      <c r="D1022" s="3" t="str">
        <f>HYPERLINK("https://12go.asia/en/travel/pujiangzhen/huanggang", "12Go Link")</f>
        <v>12Go Link</v>
      </c>
      <c r="E1022" s="2" t="s">
        <v>77</v>
      </c>
    </row>
    <row r="1023">
      <c r="A1023" s="2" t="s">
        <v>381</v>
      </c>
      <c r="B1023" s="2" t="s">
        <v>752</v>
      </c>
      <c r="C1023" s="2" t="s">
        <v>1399</v>
      </c>
      <c r="D1023" s="3" t="str">
        <f>HYPERLINK("https://12go.asia/en/travel/pujiangzhen/huangshan", "12Go Link")</f>
        <v>12Go Link</v>
      </c>
      <c r="E1023" s="2" t="s">
        <v>77</v>
      </c>
    </row>
    <row r="1024">
      <c r="A1024" s="2" t="s">
        <v>381</v>
      </c>
      <c r="B1024" s="2" t="s">
        <v>598</v>
      </c>
      <c r="C1024" s="2" t="s">
        <v>1400</v>
      </c>
      <c r="D1024" s="3" t="str">
        <f>HYPERLINK("https://12go.asia/en/travel/pujiangzhen/huashan", "12Go Link")</f>
        <v>12Go Link</v>
      </c>
      <c r="E1024" s="2" t="s">
        <v>77</v>
      </c>
    </row>
    <row r="1025">
      <c r="A1025" s="2" t="s">
        <v>381</v>
      </c>
      <c r="B1025" s="2" t="s">
        <v>450</v>
      </c>
      <c r="C1025" s="2" t="s">
        <v>1401</v>
      </c>
      <c r="D1025" s="3" t="str">
        <f>HYPERLINK("https://12go.asia/en/travel/pujiangzhen/jiangning", "12Go Link")</f>
        <v>12Go Link</v>
      </c>
      <c r="E1025" s="2" t="s">
        <v>77</v>
      </c>
    </row>
    <row r="1026">
      <c r="A1026" s="2" t="s">
        <v>381</v>
      </c>
      <c r="B1026" s="2" t="s">
        <v>452</v>
      </c>
      <c r="C1026" s="2" t="s">
        <v>1402</v>
      </c>
      <c r="D1026" s="3" t="str">
        <f>HYPERLINK("https://12go.asia/en/travel/pujiangzhen/jiangsu", "12Go Link")</f>
        <v>12Go Link</v>
      </c>
      <c r="E1026" s="2" t="s">
        <v>77</v>
      </c>
    </row>
    <row r="1027">
      <c r="A1027" s="2" t="s">
        <v>381</v>
      </c>
      <c r="B1027" s="2" t="s">
        <v>765</v>
      </c>
      <c r="C1027" s="2" t="s">
        <v>1403</v>
      </c>
      <c r="D1027" s="3" t="str">
        <f>HYPERLINK("https://12go.asia/en/travel/pujiangzhen/jinjiang", "12Go Link")</f>
        <v>12Go Link</v>
      </c>
      <c r="E1027" s="2" t="s">
        <v>77</v>
      </c>
    </row>
    <row r="1028">
      <c r="A1028" s="2" t="s">
        <v>381</v>
      </c>
      <c r="B1028" s="2" t="s">
        <v>1225</v>
      </c>
      <c r="C1028" s="2" t="s">
        <v>1404</v>
      </c>
      <c r="D1028" s="3" t="str">
        <f>HYPERLINK("https://12go.asia/en/travel/pujiangzhen/kaili-city", "12Go Link")</f>
        <v>12Go Link</v>
      </c>
      <c r="E1028" s="2" t="s">
        <v>77</v>
      </c>
    </row>
    <row r="1029">
      <c r="A1029" s="2" t="s">
        <v>381</v>
      </c>
      <c r="B1029" s="2" t="s">
        <v>1154</v>
      </c>
      <c r="C1029" s="2" t="s">
        <v>1405</v>
      </c>
      <c r="D1029" s="3" t="str">
        <f>HYPERLINK("https://12go.asia/en/travel/pujiangzhen/kunshan", "12Go Link")</f>
        <v>12Go Link</v>
      </c>
      <c r="E1029" s="2" t="s">
        <v>77</v>
      </c>
    </row>
    <row r="1030">
      <c r="A1030" s="2" t="s">
        <v>381</v>
      </c>
      <c r="B1030" s="2" t="s">
        <v>1254</v>
      </c>
      <c r="C1030" s="2" t="s">
        <v>1406</v>
      </c>
      <c r="D1030" s="3" t="str">
        <f>HYPERLINK("https://12go.asia/en/travel/pujiangzhen/lanshan", "12Go Link")</f>
        <v>12Go Link</v>
      </c>
      <c r="E1030" s="2" t="s">
        <v>77</v>
      </c>
    </row>
    <row r="1031">
      <c r="A1031" s="2" t="s">
        <v>381</v>
      </c>
      <c r="B1031" s="2" t="s">
        <v>370</v>
      </c>
      <c r="C1031" s="2" t="s">
        <v>1407</v>
      </c>
      <c r="D1031" s="3" t="str">
        <f>HYPERLINK("https://12go.asia/en/travel/pujiangzhen/lanzhou", "12Go Link")</f>
        <v>12Go Link</v>
      </c>
      <c r="E1031" s="2" t="s">
        <v>77</v>
      </c>
    </row>
    <row r="1032">
      <c r="A1032" s="2" t="s">
        <v>381</v>
      </c>
      <c r="B1032" s="2" t="s">
        <v>1093</v>
      </c>
      <c r="C1032" s="2" t="s">
        <v>1408</v>
      </c>
      <c r="D1032" s="3" t="str">
        <f>HYPERLINK("https://12go.asia/en/travel/pujiangzhen/loudi", "12Go Link")</f>
        <v>12Go Link</v>
      </c>
      <c r="E1032" s="2" t="s">
        <v>77</v>
      </c>
    </row>
    <row r="1033">
      <c r="A1033" s="2" t="s">
        <v>381</v>
      </c>
      <c r="B1033" s="2" t="s">
        <v>1409</v>
      </c>
      <c r="C1033" s="2" t="s">
        <v>1410</v>
      </c>
      <c r="D1033" s="3" t="str">
        <f>HYPERLINK("https://12go.asia/en/travel/pujiangzhen/luoyang", "12Go Link")</f>
        <v>12Go Link</v>
      </c>
      <c r="E1033" s="2" t="s">
        <v>77</v>
      </c>
    </row>
    <row r="1034">
      <c r="A1034" s="2" t="s">
        <v>381</v>
      </c>
      <c r="B1034" s="2" t="s">
        <v>1411</v>
      </c>
      <c r="C1034" s="2" t="s">
        <v>1412</v>
      </c>
      <c r="D1034" s="3" t="str">
        <f>HYPERLINK("https://12go.asia/en/travel/pujiangzhen/maanshan", "12Go Link")</f>
        <v>12Go Link</v>
      </c>
      <c r="E1034" s="2" t="s">
        <v>77</v>
      </c>
    </row>
    <row r="1035">
      <c r="A1035" s="2" t="s">
        <v>381</v>
      </c>
      <c r="B1035" s="2" t="s">
        <v>454</v>
      </c>
      <c r="C1035" s="2" t="s">
        <v>1413</v>
      </c>
      <c r="D1035" s="3" t="str">
        <f>HYPERLINK("https://12go.asia/en/travel/pujiangzhen/nanjing", "12Go Link")</f>
        <v>12Go Link</v>
      </c>
      <c r="E1035" s="2" t="s">
        <v>77</v>
      </c>
    </row>
    <row r="1036">
      <c r="A1036" s="2" t="s">
        <v>381</v>
      </c>
      <c r="B1036" s="2" t="s">
        <v>772</v>
      </c>
      <c r="C1036" s="2" t="s">
        <v>1414</v>
      </c>
      <c r="D1036" s="3" t="str">
        <f>HYPERLINK("https://12go.asia/en/travel/pujiangzhen/ningbo", "12Go Link")</f>
        <v>12Go Link</v>
      </c>
      <c r="E1036" s="2" t="s">
        <v>77</v>
      </c>
    </row>
    <row r="1037">
      <c r="A1037" s="2" t="s">
        <v>381</v>
      </c>
      <c r="B1037" s="2" t="s">
        <v>1415</v>
      </c>
      <c r="C1037" s="2" t="s">
        <v>1416</v>
      </c>
      <c r="D1037" s="3" t="str">
        <f>HYPERLINK("https://12go.asia/en/travel/pujiangzhen/pingshan-shenzhen", "12Go Link")</f>
        <v>12Go Link</v>
      </c>
      <c r="E1037" s="2" t="s">
        <v>77</v>
      </c>
    </row>
    <row r="1038">
      <c r="A1038" s="2" t="s">
        <v>381</v>
      </c>
      <c r="B1038" s="2" t="s">
        <v>1417</v>
      </c>
      <c r="C1038" s="2" t="s">
        <v>1418</v>
      </c>
      <c r="D1038" s="3" t="str">
        <f>HYPERLINK("https://12go.asia/en/travel/pujiangzhen/qichun", "12Go Link")</f>
        <v>12Go Link</v>
      </c>
      <c r="E1038" s="2" t="s">
        <v>77</v>
      </c>
    </row>
    <row r="1039">
      <c r="A1039" s="2" t="s">
        <v>381</v>
      </c>
      <c r="B1039" s="2" t="s">
        <v>716</v>
      </c>
      <c r="C1039" s="2" t="s">
        <v>1419</v>
      </c>
      <c r="D1039" s="3" t="str">
        <f>HYPERLINK("https://12go.asia/en/travel/pujiangzhen/quanzhou", "12Go Link")</f>
        <v>12Go Link</v>
      </c>
      <c r="E1039" s="2" t="s">
        <v>77</v>
      </c>
    </row>
    <row r="1040">
      <c r="A1040" s="2" t="s">
        <v>381</v>
      </c>
      <c r="B1040" s="2" t="s">
        <v>457</v>
      </c>
      <c r="C1040" s="2" t="s">
        <v>1420</v>
      </c>
      <c r="D1040" s="3" t="str">
        <f>HYPERLINK("https://12go.asia/en/travel/pujiangzhen/shaanxi", "12Go Link")</f>
        <v>12Go Link</v>
      </c>
      <c r="E1040" s="2" t="s">
        <v>77</v>
      </c>
    </row>
    <row r="1041">
      <c r="A1041" s="2" t="s">
        <v>381</v>
      </c>
      <c r="B1041" s="2" t="s">
        <v>565</v>
      </c>
      <c r="C1041" s="2" t="s">
        <v>1421</v>
      </c>
      <c r="D1041" s="3" t="str">
        <f>HYPERLINK("https://12go.asia/en/travel/pujiangzhen/shangqiu", "12Go Link")</f>
        <v>12Go Link</v>
      </c>
      <c r="E1041" s="2" t="s">
        <v>77</v>
      </c>
    </row>
    <row r="1042">
      <c r="A1042" s="2" t="s">
        <v>381</v>
      </c>
      <c r="B1042" s="2" t="s">
        <v>1422</v>
      </c>
      <c r="C1042" s="2" t="s">
        <v>1423</v>
      </c>
      <c r="D1042" s="3" t="str">
        <f>HYPERLINK("https://12go.asia/en/travel/pujiangzhen/shunchang", "12Go Link")</f>
        <v>12Go Link</v>
      </c>
      <c r="E1042" s="2" t="s">
        <v>77</v>
      </c>
    </row>
    <row r="1043">
      <c r="A1043" s="2" t="s">
        <v>381</v>
      </c>
      <c r="B1043" s="2" t="s">
        <v>814</v>
      </c>
      <c r="C1043" s="2" t="s">
        <v>1424</v>
      </c>
      <c r="D1043" s="3" t="str">
        <f>HYPERLINK("https://12go.asia/en/travel/pujiangzhen/suzhou", "12Go Link")</f>
        <v>12Go Link</v>
      </c>
      <c r="E1043" s="2" t="s">
        <v>77</v>
      </c>
    </row>
    <row r="1044">
      <c r="A1044" s="2" t="s">
        <v>381</v>
      </c>
      <c r="B1044" s="2" t="s">
        <v>697</v>
      </c>
      <c r="C1044" s="2" t="s">
        <v>1425</v>
      </c>
      <c r="D1044" s="3" t="str">
        <f>HYPERLINK("https://12go.asia/en/travel/pujiangzhen/taizhou-zhejiang", "12Go Link")</f>
        <v>12Go Link</v>
      </c>
      <c r="E1044" s="2" t="s">
        <v>77</v>
      </c>
    </row>
    <row r="1045">
      <c r="A1045" s="2" t="s">
        <v>381</v>
      </c>
      <c r="B1045" s="2" t="s">
        <v>1052</v>
      </c>
      <c r="C1045" s="2" t="s">
        <v>1426</v>
      </c>
      <c r="D1045" s="3" t="str">
        <f>HYPERLINK("https://12go.asia/en/travel/pujiangzhen/tianshui", "12Go Link")</f>
        <v>12Go Link</v>
      </c>
      <c r="E1045" s="2" t="s">
        <v>77</v>
      </c>
    </row>
    <row r="1046">
      <c r="A1046" s="2" t="s">
        <v>381</v>
      </c>
      <c r="B1046" s="2" t="s">
        <v>1304</v>
      </c>
      <c r="C1046" s="2" t="s">
        <v>1427</v>
      </c>
      <c r="D1046" s="3" t="str">
        <f>HYPERLINK("https://12go.asia/en/travel/pujiangzhen/tongzhou-jiangsu", "12Go Link")</f>
        <v>12Go Link</v>
      </c>
      <c r="E1046" s="2" t="s">
        <v>77</v>
      </c>
    </row>
    <row r="1047">
      <c r="A1047" s="2" t="s">
        <v>381</v>
      </c>
      <c r="B1047" s="2" t="s">
        <v>786</v>
      </c>
      <c r="C1047" s="2" t="s">
        <v>1428</v>
      </c>
      <c r="D1047" s="3" t="str">
        <f>HYPERLINK("https://12go.asia/en/travel/pujiangzhen/wenzhou", "12Go Link")</f>
        <v>12Go Link</v>
      </c>
      <c r="E1047" s="2" t="s">
        <v>77</v>
      </c>
    </row>
    <row r="1048">
      <c r="A1048" s="2" t="s">
        <v>381</v>
      </c>
      <c r="B1048" s="2" t="s">
        <v>987</v>
      </c>
      <c r="C1048" s="2" t="s">
        <v>1429</v>
      </c>
      <c r="D1048" s="3" t="str">
        <f>HYPERLINK("https://12go.asia/en/travel/pujiangzhen/wuhu", "12Go Link")</f>
        <v>12Go Link</v>
      </c>
      <c r="E1048" s="2" t="s">
        <v>77</v>
      </c>
    </row>
    <row r="1049">
      <c r="A1049" s="2" t="s">
        <v>381</v>
      </c>
      <c r="B1049" s="2" t="s">
        <v>571</v>
      </c>
      <c r="C1049" s="2" t="s">
        <v>1430</v>
      </c>
      <c r="D1049" s="3" t="str">
        <f>HYPERLINK("https://12go.asia/en/travel/pujiangzhen/wuxi-jiangsu", "12Go Link")</f>
        <v>12Go Link</v>
      </c>
      <c r="E1049" s="2" t="s">
        <v>77</v>
      </c>
    </row>
    <row r="1050">
      <c r="A1050" s="2" t="s">
        <v>381</v>
      </c>
      <c r="B1050" s="2" t="s">
        <v>1431</v>
      </c>
      <c r="C1050" s="2" t="s">
        <v>1432</v>
      </c>
      <c r="D1050" s="3" t="str">
        <f>HYPERLINK("https://12go.asia/en/travel/pujiangzhen/wuyishan-fujian", "12Go Link")</f>
        <v>12Go Link</v>
      </c>
      <c r="E1050" s="2" t="s">
        <v>77</v>
      </c>
    </row>
    <row r="1051">
      <c r="A1051" s="2" t="s">
        <v>381</v>
      </c>
      <c r="B1051" s="2" t="s">
        <v>469</v>
      </c>
      <c r="C1051" s="2" t="s">
        <v>1433</v>
      </c>
      <c r="D1051" s="3" t="str">
        <f>HYPERLINK("https://12go.asia/en/travel/pujiangzhen/xian", "12Go Link")</f>
        <v>12Go Link</v>
      </c>
      <c r="E1051" s="2" t="s">
        <v>77</v>
      </c>
    </row>
    <row r="1052">
      <c r="A1052" s="2" t="s">
        <v>381</v>
      </c>
      <c r="B1052" s="2" t="s">
        <v>425</v>
      </c>
      <c r="C1052" s="2" t="s">
        <v>1434</v>
      </c>
      <c r="D1052" s="3" t="str">
        <f>HYPERLINK("https://12go.asia/en/travel/pujiangzhen/xigu", "12Go Link")</f>
        <v>12Go Link</v>
      </c>
      <c r="E1052" s="2" t="s">
        <v>77</v>
      </c>
    </row>
    <row r="1053">
      <c r="A1053" s="2" t="s">
        <v>381</v>
      </c>
      <c r="B1053" s="2" t="s">
        <v>904</v>
      </c>
      <c r="C1053" s="2" t="s">
        <v>1435</v>
      </c>
      <c r="D1053" s="3" t="str">
        <f>HYPERLINK("https://12go.asia/en/travel/pujiangzhen/xinmin", "12Go Link")</f>
        <v>12Go Link</v>
      </c>
      <c r="E1053" s="2" t="s">
        <v>77</v>
      </c>
    </row>
    <row r="1054">
      <c r="A1054" s="2" t="s">
        <v>381</v>
      </c>
      <c r="B1054" s="2" t="s">
        <v>907</v>
      </c>
      <c r="C1054" s="2" t="s">
        <v>1436</v>
      </c>
      <c r="D1054" s="3" t="str">
        <f>HYPERLINK("https://12go.asia/en/travel/pujiangzhen/xuanzhou", "12Go Link")</f>
        <v>12Go Link</v>
      </c>
      <c r="E1054" s="2" t="s">
        <v>77</v>
      </c>
    </row>
    <row r="1055">
      <c r="A1055" s="2" t="s">
        <v>381</v>
      </c>
      <c r="B1055" s="2" t="s">
        <v>1437</v>
      </c>
      <c r="C1055" s="2" t="s">
        <v>1438</v>
      </c>
      <c r="D1055" s="3" t="str">
        <f>HYPERLINK("https://12go.asia/en/travel/pujiangzhen/xuzhou", "12Go Link")</f>
        <v>12Go Link</v>
      </c>
      <c r="E1055" s="2" t="s">
        <v>77</v>
      </c>
    </row>
    <row r="1056">
      <c r="A1056" s="2" t="s">
        <v>381</v>
      </c>
      <c r="B1056" s="2" t="s">
        <v>794</v>
      </c>
      <c r="C1056" s="2" t="s">
        <v>1439</v>
      </c>
      <c r="D1056" s="3" t="str">
        <f>HYPERLINK("https://12go.asia/en/travel/pujiangzhen/yiwu", "12Go Link")</f>
        <v>12Go Link</v>
      </c>
      <c r="E1056" s="2" t="s">
        <v>77</v>
      </c>
    </row>
    <row r="1057">
      <c r="A1057" s="2" t="s">
        <v>381</v>
      </c>
      <c r="B1057" s="2" t="s">
        <v>1440</v>
      </c>
      <c r="C1057" s="2" t="s">
        <v>1441</v>
      </c>
      <c r="D1057" s="3" t="str">
        <f>HYPERLINK("https://12go.asia/en/travel/pujiangzhen/yuhang", "12Go Link")</f>
        <v>12Go Link</v>
      </c>
      <c r="E1057" s="2" t="s">
        <v>77</v>
      </c>
    </row>
    <row r="1058">
      <c r="A1058" s="2" t="s">
        <v>381</v>
      </c>
      <c r="B1058" s="2" t="s">
        <v>915</v>
      </c>
      <c r="C1058" s="2" t="s">
        <v>1442</v>
      </c>
      <c r="D1058" s="3" t="str">
        <f>HYPERLINK("https://12go.asia/en/travel/pujiangzhen/yutian", "12Go Link")</f>
        <v>12Go Link</v>
      </c>
      <c r="E1058" s="2" t="s">
        <v>77</v>
      </c>
    </row>
    <row r="1059">
      <c r="A1059" s="2" t="s">
        <v>381</v>
      </c>
      <c r="B1059" s="2" t="s">
        <v>918</v>
      </c>
      <c r="C1059" s="2" t="s">
        <v>1443</v>
      </c>
      <c r="D1059" s="3" t="str">
        <f>HYPERLINK("https://12go.asia/en/travel/pujiangzhen/yuzhong", "12Go Link")</f>
        <v>12Go Link</v>
      </c>
      <c r="E1059" s="2" t="s">
        <v>77</v>
      </c>
    </row>
    <row r="1060">
      <c r="A1060" s="2" t="s">
        <v>381</v>
      </c>
      <c r="B1060" s="2" t="s">
        <v>796</v>
      </c>
      <c r="C1060" s="2" t="s">
        <v>1444</v>
      </c>
      <c r="D1060" s="3" t="str">
        <f>HYPERLINK("https://12go.asia/en/travel/pujiangzhen/zengcheng", "12Go Link")</f>
        <v>12Go Link</v>
      </c>
      <c r="E1060" s="2" t="s">
        <v>77</v>
      </c>
    </row>
    <row r="1061">
      <c r="A1061" s="2" t="s">
        <v>381</v>
      </c>
      <c r="B1061" s="2" t="s">
        <v>799</v>
      </c>
      <c r="C1061" s="2" t="s">
        <v>1445</v>
      </c>
      <c r="D1061" s="3" t="str">
        <f>HYPERLINK("https://12go.asia/en/travel/pujiangzhen/zhengzhou", "12Go Link")</f>
        <v>12Go Link</v>
      </c>
      <c r="E1061" s="2" t="s">
        <v>77</v>
      </c>
    </row>
    <row r="1062">
      <c r="A1062" s="2" t="s">
        <v>1446</v>
      </c>
      <c r="B1062" s="2" t="s">
        <v>711</v>
      </c>
      <c r="C1062" s="2" t="s">
        <v>1447</v>
      </c>
      <c r="D1062" s="3" t="str">
        <f>HYPERLINK("https://12go.asia/en/travel/puning/guangdong", "12Go Link")</f>
        <v>12Go Link</v>
      </c>
      <c r="E1062" s="2" t="s">
        <v>77</v>
      </c>
    </row>
    <row r="1063">
      <c r="A1063" s="2" t="s">
        <v>1446</v>
      </c>
      <c r="B1063" s="2" t="s">
        <v>1113</v>
      </c>
      <c r="C1063" s="2" t="s">
        <v>1448</v>
      </c>
      <c r="D1063" s="3" t="str">
        <f>HYPERLINK("https://12go.asia/en/travel/puning/hong-kong-island", "12Go Link")</f>
        <v>12Go Link</v>
      </c>
      <c r="E1063" s="2" t="s">
        <v>77</v>
      </c>
    </row>
    <row r="1064">
      <c r="A1064" s="2" t="s">
        <v>1446</v>
      </c>
      <c r="B1064" s="2" t="s">
        <v>1271</v>
      </c>
      <c r="C1064" s="2" t="s">
        <v>1449</v>
      </c>
      <c r="D1064" s="3" t="str">
        <f>HYPERLINK("https://12go.asia/en/travel/puning/kowloon", "12Go Link")</f>
        <v>12Go Link</v>
      </c>
      <c r="E1064" s="2" t="s">
        <v>77</v>
      </c>
    </row>
    <row r="1065">
      <c r="A1065" s="2" t="s">
        <v>1450</v>
      </c>
      <c r="B1065" s="2" t="s">
        <v>790</v>
      </c>
      <c r="C1065" s="2" t="s">
        <v>1451</v>
      </c>
      <c r="D1065" s="3" t="str">
        <f>HYPERLINK("https://12go.asia/en/travel/putian/xiamen", "12Go Link")</f>
        <v>12Go Link</v>
      </c>
      <c r="E1065" s="2" t="s">
        <v>77</v>
      </c>
    </row>
    <row r="1066">
      <c r="A1066" s="2" t="s">
        <v>1450</v>
      </c>
      <c r="B1066" s="2" t="s">
        <v>790</v>
      </c>
      <c r="C1066" s="2" t="s">
        <v>1452</v>
      </c>
      <c r="D1066" s="3" t="str">
        <f>HYPERLINK("https://12go.asia/en/travel/putian/xiamen-north", "12Go Link")</f>
        <v>12Go Link</v>
      </c>
      <c r="E1066" s="2" t="s">
        <v>77</v>
      </c>
    </row>
    <row r="1067">
      <c r="A1067" s="2" t="s">
        <v>1417</v>
      </c>
      <c r="B1067" s="2" t="s">
        <v>1397</v>
      </c>
      <c r="C1067" s="2" t="s">
        <v>1453</v>
      </c>
      <c r="D1067" s="3" t="str">
        <f>HYPERLINK("https://12go.asia/en/travel/qichun-south/huanggang-west", "12Go Link")</f>
        <v>12Go Link</v>
      </c>
      <c r="E1067" s="2" t="s">
        <v>77</v>
      </c>
    </row>
    <row r="1068">
      <c r="A1068" s="2" t="s">
        <v>1417</v>
      </c>
      <c r="B1068" s="2" t="s">
        <v>1397</v>
      </c>
      <c r="C1068" s="2" t="s">
        <v>1454</v>
      </c>
      <c r="D1068" s="3" t="str">
        <f>HYPERLINK("https://12go.asia/en/travel/qichun/huanggang", "12Go Link")</f>
        <v>12Go Link</v>
      </c>
      <c r="E1068" s="2" t="s">
        <v>77</v>
      </c>
    </row>
    <row r="1069">
      <c r="A1069" s="2" t="s">
        <v>1417</v>
      </c>
      <c r="B1069" s="2" t="s">
        <v>650</v>
      </c>
      <c r="C1069" s="2" t="s">
        <v>1455</v>
      </c>
      <c r="D1069" s="3" t="str">
        <f>HYPERLINK("https://12go.asia/en/travel/qichun-south/wuhan-east", "12Go Link")</f>
        <v>12Go Link</v>
      </c>
      <c r="E1069" s="2" t="s">
        <v>77</v>
      </c>
    </row>
    <row r="1070">
      <c r="A1070" s="2" t="s">
        <v>1417</v>
      </c>
      <c r="B1070" s="2" t="s">
        <v>650</v>
      </c>
      <c r="C1070" s="2" t="s">
        <v>1456</v>
      </c>
      <c r="D1070" s="3" t="str">
        <f>HYPERLINK("https://12go.asia/en/travel/qichun/jiaocheng", "12Go Link")</f>
        <v>12Go Link</v>
      </c>
      <c r="E1070" s="2" t="s">
        <v>77</v>
      </c>
    </row>
    <row r="1071">
      <c r="A1071" s="2" t="s">
        <v>1417</v>
      </c>
      <c r="B1071" s="2" t="s">
        <v>788</v>
      </c>
      <c r="C1071" s="2" t="s">
        <v>1457</v>
      </c>
      <c r="D1071" s="3" t="str">
        <f>HYPERLINK("https://12go.asia/en/travel/qichun-south/hankou", "12Go Link")</f>
        <v>12Go Link</v>
      </c>
      <c r="E1071" s="2" t="s">
        <v>77</v>
      </c>
    </row>
    <row r="1072">
      <c r="A1072" s="2" t="s">
        <v>1417</v>
      </c>
      <c r="B1072" s="2" t="s">
        <v>788</v>
      </c>
      <c r="C1072" s="2" t="s">
        <v>1458</v>
      </c>
      <c r="D1072" s="3" t="str">
        <f>HYPERLINK("https://12go.asia/en/travel/qichun-south/tianhe-airport", "12Go Link")</f>
        <v>12Go Link</v>
      </c>
      <c r="E1072" s="2" t="s">
        <v>77</v>
      </c>
    </row>
    <row r="1073">
      <c r="A1073" s="2" t="s">
        <v>1417</v>
      </c>
      <c r="B1073" s="2" t="s">
        <v>788</v>
      </c>
      <c r="C1073" s="2" t="s">
        <v>1459</v>
      </c>
      <c r="D1073" s="3" t="str">
        <f>HYPERLINK("https://12go.asia/en/travel/qichun-south/wuchang", "12Go Link")</f>
        <v>12Go Link</v>
      </c>
      <c r="E1073" s="2" t="s">
        <v>77</v>
      </c>
    </row>
    <row r="1074">
      <c r="A1074" s="2" t="s">
        <v>1417</v>
      </c>
      <c r="B1074" s="2" t="s">
        <v>788</v>
      </c>
      <c r="C1074" s="2" t="s">
        <v>1460</v>
      </c>
      <c r="D1074" s="3" t="str">
        <f>HYPERLINK("https://12go.asia/en/travel/qichun-south/wuhan", "12Go Link")</f>
        <v>12Go Link</v>
      </c>
      <c r="E1074" s="2" t="s">
        <v>77</v>
      </c>
    </row>
    <row r="1075">
      <c r="A1075" s="2" t="s">
        <v>1417</v>
      </c>
      <c r="B1075" s="2" t="s">
        <v>788</v>
      </c>
      <c r="C1075" s="2" t="s">
        <v>1461</v>
      </c>
      <c r="D1075" s="3" t="str">
        <f>HYPERLINK("https://12go.asia/en/travel/qichun/wuhan", "12Go Link")</f>
        <v>12Go Link</v>
      </c>
      <c r="E1075" s="2" t="s">
        <v>77</v>
      </c>
    </row>
    <row r="1076">
      <c r="A1076" s="2" t="s">
        <v>1417</v>
      </c>
      <c r="B1076" s="2" t="s">
        <v>575</v>
      </c>
      <c r="C1076" s="2" t="s">
        <v>1462</v>
      </c>
      <c r="D1076" s="3" t="str">
        <f>HYPERLINK("https://12go.asia/en/travel/qichun-south/zhangjiagang", "12Go Link")</f>
        <v>12Go Link</v>
      </c>
      <c r="E1076" s="2" t="s">
        <v>77</v>
      </c>
    </row>
    <row r="1077">
      <c r="A1077" s="2" t="s">
        <v>1417</v>
      </c>
      <c r="B1077" s="2" t="s">
        <v>575</v>
      </c>
      <c r="C1077" s="2" t="s">
        <v>1463</v>
      </c>
      <c r="D1077" s="3" t="str">
        <f>HYPERLINK("https://12go.asia/en/travel/qichun/zhangjiagang", "12Go Link")</f>
        <v>12Go Link</v>
      </c>
      <c r="E1077" s="2" t="s">
        <v>77</v>
      </c>
    </row>
    <row r="1078">
      <c r="A1078" s="2" t="s">
        <v>1464</v>
      </c>
      <c r="B1078" s="2" t="s">
        <v>457</v>
      </c>
      <c r="C1078" s="2" t="s">
        <v>1465</v>
      </c>
      <c r="D1078" s="3" t="str">
        <f>HYPERLINK("https://12go.asia/en/travel/qindu/shaanxi", "12Go Link")</f>
        <v>12Go Link</v>
      </c>
      <c r="E1078" s="2" t="s">
        <v>77</v>
      </c>
    </row>
    <row r="1079">
      <c r="A1079" s="2" t="s">
        <v>1464</v>
      </c>
      <c r="B1079" s="2" t="s">
        <v>469</v>
      </c>
      <c r="C1079" s="2" t="s">
        <v>1466</v>
      </c>
      <c r="D1079" s="3" t="str">
        <f>HYPERLINK("https://12go.asia/en/travel/qindu/xian", "12Go Link")</f>
        <v>12Go Link</v>
      </c>
      <c r="E1079" s="2" t="s">
        <v>77</v>
      </c>
    </row>
    <row r="1080">
      <c r="A1080" s="2" t="s">
        <v>1464</v>
      </c>
      <c r="B1080" s="2" t="s">
        <v>469</v>
      </c>
      <c r="C1080" s="2" t="s">
        <v>1467</v>
      </c>
      <c r="D1080" s="3" t="str">
        <f>HYPERLINK("https://12go.asia/en/travel/xianyang-north/xian-north", "12Go Link")</f>
        <v>12Go Link</v>
      </c>
      <c r="E1080" s="2" t="s">
        <v>77</v>
      </c>
    </row>
    <row r="1081">
      <c r="A1081" s="2" t="s">
        <v>1140</v>
      </c>
      <c r="B1081" s="2" t="s">
        <v>1263</v>
      </c>
      <c r="C1081" s="2" t="s">
        <v>1468</v>
      </c>
      <c r="D1081" s="3" t="str">
        <f>HYPERLINK("https://12go.asia/en/travel/qingcheng-mountain/leshan", "12Go Link")</f>
        <v>12Go Link</v>
      </c>
      <c r="E1081" s="2" t="s">
        <v>77</v>
      </c>
    </row>
    <row r="1082">
      <c r="A1082" s="2" t="s">
        <v>1140</v>
      </c>
      <c r="B1082" s="2" t="s">
        <v>1263</v>
      </c>
      <c r="C1082" s="2" t="s">
        <v>1469</v>
      </c>
      <c r="D1082" s="3" t="str">
        <f>HYPERLINK("https://12go.asia/en/travel/qingchengshan/leshan", "12Go Link")</f>
        <v>12Go Link</v>
      </c>
      <c r="E1082" s="2" t="s">
        <v>77</v>
      </c>
    </row>
    <row r="1083">
      <c r="A1083" s="2" t="s">
        <v>1470</v>
      </c>
      <c r="B1083" s="2" t="s">
        <v>438</v>
      </c>
      <c r="C1083" s="2" t="s">
        <v>1471</v>
      </c>
      <c r="D1083" s="3" t="str">
        <f>HYPERLINK("https://12go.asia/en/travel/qingdao-north/funing-east", "12Go Link")</f>
        <v>12Go Link</v>
      </c>
      <c r="E1083" s="2" t="s">
        <v>77</v>
      </c>
    </row>
    <row r="1084">
      <c r="A1084" s="2" t="s">
        <v>1470</v>
      </c>
      <c r="B1084" s="2" t="s">
        <v>438</v>
      </c>
      <c r="C1084" s="2" t="s">
        <v>1472</v>
      </c>
      <c r="D1084" s="3" t="str">
        <f>HYPERLINK("https://12go.asia/en/travel/qingdao/beidaihe", "12Go Link")</f>
        <v>12Go Link</v>
      </c>
      <c r="E1084" s="2" t="s">
        <v>77</v>
      </c>
    </row>
    <row r="1085">
      <c r="A1085" s="2" t="s">
        <v>1470</v>
      </c>
      <c r="B1085" s="2" t="s">
        <v>438</v>
      </c>
      <c r="C1085" s="2" t="s">
        <v>1473</v>
      </c>
      <c r="D1085" s="3" t="str">
        <f>HYPERLINK("https://12go.asia/en/travel/qingdao/funing-east", "12Go Link")</f>
        <v>12Go Link</v>
      </c>
      <c r="E1085" s="2" t="s">
        <v>77</v>
      </c>
    </row>
    <row r="1086">
      <c r="A1086" s="2" t="s">
        <v>1470</v>
      </c>
      <c r="B1086" s="2" t="s">
        <v>491</v>
      </c>
      <c r="C1086" s="2" t="s">
        <v>1474</v>
      </c>
      <c r="D1086" s="3" t="str">
        <f>HYPERLINK("https://12go.asia/en/travel/hongdao/beijing-south", "12Go Link")</f>
        <v>12Go Link</v>
      </c>
      <c r="E1086" s="2" t="s">
        <v>77</v>
      </c>
    </row>
    <row r="1087">
      <c r="A1087" s="2" t="s">
        <v>1470</v>
      </c>
      <c r="B1087" s="2" t="s">
        <v>491</v>
      </c>
      <c r="C1087" s="2" t="s">
        <v>1475</v>
      </c>
      <c r="D1087" s="3" t="str">
        <f>HYPERLINK("https://12go.asia/en/travel/qingdao-north/beijing-fengtai", "12Go Link")</f>
        <v>12Go Link</v>
      </c>
      <c r="E1087" s="2" t="s">
        <v>77</v>
      </c>
    </row>
    <row r="1088">
      <c r="A1088" s="2" t="s">
        <v>1470</v>
      </c>
      <c r="B1088" s="2" t="s">
        <v>368</v>
      </c>
      <c r="C1088" s="2" t="s">
        <v>1476</v>
      </c>
      <c r="D1088" s="3" t="str">
        <f>HYPERLINK("https://12go.asia/en/travel/qingdao/gansu", "12Go Link")</f>
        <v>12Go Link</v>
      </c>
      <c r="E1088" s="2" t="s">
        <v>77</v>
      </c>
    </row>
    <row r="1089">
      <c r="A1089" s="2" t="s">
        <v>1470</v>
      </c>
      <c r="B1089" s="2" t="s">
        <v>412</v>
      </c>
      <c r="C1089" s="2" t="s">
        <v>1477</v>
      </c>
      <c r="D1089" s="3" t="str">
        <f>HYPERLINK("https://12go.asia/en/travel/hongdao/gaocheng-south", "12Go Link")</f>
        <v>12Go Link</v>
      </c>
      <c r="E1089" s="2" t="s">
        <v>77</v>
      </c>
    </row>
    <row r="1090">
      <c r="A1090" s="2" t="s">
        <v>1470</v>
      </c>
      <c r="B1090" s="2" t="s">
        <v>412</v>
      </c>
      <c r="C1090" s="2" t="s">
        <v>1478</v>
      </c>
      <c r="D1090" s="3" t="str">
        <f>HYPERLINK("https://12go.asia/en/travel/qingdao-north/gaocheng-south", "12Go Link")</f>
        <v>12Go Link</v>
      </c>
      <c r="E1090" s="2" t="s">
        <v>77</v>
      </c>
    </row>
    <row r="1091">
      <c r="A1091" s="2" t="s">
        <v>1470</v>
      </c>
      <c r="B1091" s="2" t="s">
        <v>412</v>
      </c>
      <c r="C1091" s="2" t="s">
        <v>1479</v>
      </c>
      <c r="D1091" s="3" t="str">
        <f>HYPERLINK("https://12go.asia/en/travel/qingdao/gaocheng", "12Go Link")</f>
        <v>12Go Link</v>
      </c>
      <c r="E1091" s="2" t="s">
        <v>77</v>
      </c>
    </row>
    <row r="1092">
      <c r="A1092" s="2" t="s">
        <v>1470</v>
      </c>
      <c r="B1092" s="2" t="s">
        <v>478</v>
      </c>
      <c r="C1092" s="2" t="s">
        <v>1480</v>
      </c>
      <c r="D1092" s="3" t="str">
        <f>HYPERLINK("https://12go.asia/en/travel/qingdao/guangxi", "12Go Link")</f>
        <v>12Go Link</v>
      </c>
      <c r="E1092" s="2" t="s">
        <v>77</v>
      </c>
    </row>
    <row r="1093">
      <c r="A1093" s="2" t="s">
        <v>1470</v>
      </c>
      <c r="B1093" s="2" t="s">
        <v>713</v>
      </c>
      <c r="C1093" s="2" t="s">
        <v>1481</v>
      </c>
      <c r="D1093" s="3" t="str">
        <f>HYPERLINK("https://12go.asia/en/travel/hongdao/guangzhou-south", "12Go Link")</f>
        <v>12Go Link</v>
      </c>
      <c r="E1093" s="2" t="s">
        <v>77</v>
      </c>
    </row>
    <row r="1094">
      <c r="A1094" s="2" t="s">
        <v>1470</v>
      </c>
      <c r="B1094" s="2" t="s">
        <v>836</v>
      </c>
      <c r="C1094" s="2" t="s">
        <v>1482</v>
      </c>
      <c r="D1094" s="3" t="str">
        <f>HYPERLINK("https://12go.asia/en/travel/qingdao/guiyang-north", "12Go Link")</f>
        <v>12Go Link</v>
      </c>
      <c r="E1094" s="2" t="s">
        <v>77</v>
      </c>
    </row>
    <row r="1095">
      <c r="A1095" s="2" t="s">
        <v>1470</v>
      </c>
      <c r="B1095" s="2" t="s">
        <v>415</v>
      </c>
      <c r="C1095" s="2" t="s">
        <v>1483</v>
      </c>
      <c r="D1095" s="3" t="str">
        <f>HYPERLINK("https://12go.asia/en/travel/qingdao/guzhang", "12Go Link")</f>
        <v>12Go Link</v>
      </c>
      <c r="E1095" s="2" t="s">
        <v>77</v>
      </c>
    </row>
    <row r="1096">
      <c r="A1096" s="2" t="s">
        <v>1470</v>
      </c>
      <c r="B1096" s="2" t="s">
        <v>1278</v>
      </c>
      <c r="C1096" s="2" t="s">
        <v>1484</v>
      </c>
      <c r="D1096" s="3" t="str">
        <f>HYPERLINK("https://12go.asia/en/travel/qingdao-north/haining", "12Go Link")</f>
        <v>12Go Link</v>
      </c>
      <c r="E1096" s="2" t="s">
        <v>77</v>
      </c>
    </row>
    <row r="1097">
      <c r="A1097" s="2" t="s">
        <v>1470</v>
      </c>
      <c r="B1097" s="2" t="s">
        <v>1278</v>
      </c>
      <c r="C1097" s="2" t="s">
        <v>1485</v>
      </c>
      <c r="D1097" s="3" t="str">
        <f>HYPERLINK("https://12go.asia/en/travel/qingdao/haining", "12Go Link")</f>
        <v>12Go Link</v>
      </c>
      <c r="E1097" s="2" t="s">
        <v>77</v>
      </c>
    </row>
    <row r="1098">
      <c r="A1098" s="2" t="s">
        <v>1470</v>
      </c>
      <c r="B1098" s="2" t="s">
        <v>746</v>
      </c>
      <c r="C1098" s="2" t="s">
        <v>1486</v>
      </c>
      <c r="D1098" s="3" t="str">
        <f>HYPERLINK("https://12go.asia/en/travel/qingdao-north/hangzhou-west", "12Go Link")</f>
        <v>12Go Link</v>
      </c>
      <c r="E1098" s="2" t="s">
        <v>77</v>
      </c>
    </row>
    <row r="1099">
      <c r="A1099" s="2" t="s">
        <v>1470</v>
      </c>
      <c r="B1099" s="2" t="s">
        <v>538</v>
      </c>
      <c r="C1099" s="2" t="s">
        <v>1487</v>
      </c>
      <c r="D1099" s="3" t="str">
        <f>HYPERLINK("https://12go.asia/en/travel/qingdao-north/harbin", "12Go Link")</f>
        <v>12Go Link</v>
      </c>
      <c r="E1099" s="2" t="s">
        <v>77</v>
      </c>
    </row>
    <row r="1100">
      <c r="A1100" s="2" t="s">
        <v>1470</v>
      </c>
      <c r="B1100" s="2" t="s">
        <v>868</v>
      </c>
      <c r="C1100" s="2" t="s">
        <v>1488</v>
      </c>
      <c r="D1100" s="3" t="str">
        <f>HYPERLINK("https://12go.asia/en/travel/qingdao-north/linyi-east", "12Go Link")</f>
        <v>12Go Link</v>
      </c>
      <c r="E1100" s="2" t="s">
        <v>77</v>
      </c>
    </row>
    <row r="1101">
      <c r="A1101" s="2" t="s">
        <v>1470</v>
      </c>
      <c r="B1101" s="2" t="s">
        <v>868</v>
      </c>
      <c r="C1101" s="2" t="s">
        <v>1489</v>
      </c>
      <c r="D1101" s="3" t="str">
        <f>HYPERLINK("https://12go.asia/en/travel/qingdao/heshan", "12Go Link")</f>
        <v>12Go Link</v>
      </c>
      <c r="E1101" s="2" t="s">
        <v>77</v>
      </c>
    </row>
    <row r="1102">
      <c r="A1102" s="2" t="s">
        <v>1470</v>
      </c>
      <c r="B1102" s="2" t="s">
        <v>499</v>
      </c>
      <c r="C1102" s="2" t="s">
        <v>1490</v>
      </c>
      <c r="D1102" s="3" t="str">
        <f>HYPERLINK("https://12go.asia/en/travel/qingdao-north/datong-south", "12Go Link")</f>
        <v>12Go Link</v>
      </c>
      <c r="E1102" s="2" t="s">
        <v>77</v>
      </c>
    </row>
    <row r="1103">
      <c r="A1103" s="2" t="s">
        <v>1470</v>
      </c>
      <c r="B1103" s="2" t="s">
        <v>499</v>
      </c>
      <c r="C1103" s="2" t="s">
        <v>1491</v>
      </c>
      <c r="D1103" s="3" t="str">
        <f>HYPERLINK("https://12go.asia/en/travel/qingdao/huairen-county", "12Go Link")</f>
        <v>12Go Link</v>
      </c>
      <c r="E1103" s="2" t="s">
        <v>77</v>
      </c>
    </row>
    <row r="1104">
      <c r="A1104" s="2" t="s">
        <v>1470</v>
      </c>
      <c r="B1104" s="2" t="s">
        <v>870</v>
      </c>
      <c r="C1104" s="2" t="s">
        <v>1492</v>
      </c>
      <c r="D1104" s="3" t="str">
        <f>HYPERLINK("https://12go.asia/en/travel/qingdao/huaxi", "12Go Link")</f>
        <v>12Go Link</v>
      </c>
      <c r="E1104" s="2" t="s">
        <v>77</v>
      </c>
    </row>
    <row r="1105">
      <c r="A1105" s="2" t="s">
        <v>1470</v>
      </c>
      <c r="B1105" s="2" t="s">
        <v>448</v>
      </c>
      <c r="C1105" s="2" t="s">
        <v>1493</v>
      </c>
      <c r="D1105" s="3" t="str">
        <f>HYPERLINK("https://12go.asia/en/travel/qingdao-north/huludao", "12Go Link")</f>
        <v>12Go Link</v>
      </c>
      <c r="E1105" s="2" t="s">
        <v>77</v>
      </c>
    </row>
    <row r="1106">
      <c r="A1106" s="2" t="s">
        <v>1470</v>
      </c>
      <c r="B1106" s="2" t="s">
        <v>448</v>
      </c>
      <c r="C1106" s="2" t="s">
        <v>1494</v>
      </c>
      <c r="D1106" s="3" t="str">
        <f>HYPERLINK("https://12go.asia/en/travel/qingdao-north/huludao-north", "12Go Link")</f>
        <v>12Go Link</v>
      </c>
      <c r="E1106" s="2" t="s">
        <v>77</v>
      </c>
    </row>
    <row r="1107">
      <c r="A1107" s="2" t="s">
        <v>1470</v>
      </c>
      <c r="B1107" s="2" t="s">
        <v>448</v>
      </c>
      <c r="C1107" s="2" t="s">
        <v>1495</v>
      </c>
      <c r="D1107" s="3" t="str">
        <f>HYPERLINK("https://12go.asia/en/travel/qingdao/huludao", "12Go Link")</f>
        <v>12Go Link</v>
      </c>
      <c r="E1107" s="2" t="s">
        <v>77</v>
      </c>
    </row>
    <row r="1108">
      <c r="A1108" s="2" t="s">
        <v>1470</v>
      </c>
      <c r="B1108" s="2" t="s">
        <v>726</v>
      </c>
      <c r="C1108" s="2" t="s">
        <v>1496</v>
      </c>
      <c r="D1108" s="3" t="str">
        <f>HYPERLINK("https://12go.asia/en/travel/qingdao/jiangjin", "12Go Link")</f>
        <v>12Go Link</v>
      </c>
      <c r="E1108" s="2" t="s">
        <v>77</v>
      </c>
    </row>
    <row r="1109">
      <c r="A1109" s="2" t="s">
        <v>1470</v>
      </c>
      <c r="B1109" s="2" t="s">
        <v>450</v>
      </c>
      <c r="C1109" s="2" t="s">
        <v>1497</v>
      </c>
      <c r="D1109" s="3" t="str">
        <f>HYPERLINK("https://12go.asia/en/travel/qingdao/jiangning", "12Go Link")</f>
        <v>12Go Link</v>
      </c>
      <c r="E1109" s="2" t="s">
        <v>77</v>
      </c>
    </row>
    <row r="1110">
      <c r="A1110" s="2" t="s">
        <v>1470</v>
      </c>
      <c r="B1110" s="2" t="s">
        <v>728</v>
      </c>
      <c r="C1110" s="2" t="s">
        <v>1498</v>
      </c>
      <c r="D1110" s="3" t="str">
        <f>HYPERLINK("https://12go.asia/en/travel/qingdao/jiangxia", "12Go Link")</f>
        <v>12Go Link</v>
      </c>
      <c r="E1110" s="2" t="s">
        <v>77</v>
      </c>
    </row>
    <row r="1111">
      <c r="A1111" s="2" t="s">
        <v>1470</v>
      </c>
      <c r="B1111" s="2" t="s">
        <v>730</v>
      </c>
      <c r="C1111" s="2" t="s">
        <v>1499</v>
      </c>
      <c r="D1111" s="3" t="str">
        <f>HYPERLINK("https://12go.asia/en/travel/qingdao/jiangyuan", "12Go Link")</f>
        <v>12Go Link</v>
      </c>
      <c r="E1111" s="2" t="s">
        <v>77</v>
      </c>
    </row>
    <row r="1112">
      <c r="A1112" s="2" t="s">
        <v>1470</v>
      </c>
      <c r="B1112" s="2" t="s">
        <v>648</v>
      </c>
      <c r="C1112" s="2" t="s">
        <v>1500</v>
      </c>
      <c r="D1112" s="3" t="str">
        <f>HYPERLINK("https://12go.asia/en/travel/qingdao/jiangzhou", "12Go Link")</f>
        <v>12Go Link</v>
      </c>
      <c r="E1112" s="2" t="s">
        <v>77</v>
      </c>
    </row>
    <row r="1113">
      <c r="A1113" s="2" t="s">
        <v>1470</v>
      </c>
      <c r="B1113" s="2" t="s">
        <v>650</v>
      </c>
      <c r="C1113" s="2" t="s">
        <v>1501</v>
      </c>
      <c r="D1113" s="3" t="str">
        <f>HYPERLINK("https://12go.asia/en/travel/qingdao/jiaocheng", "12Go Link")</f>
        <v>12Go Link</v>
      </c>
      <c r="E1113" s="2" t="s">
        <v>77</v>
      </c>
    </row>
    <row r="1114">
      <c r="A1114" s="2" t="s">
        <v>1470</v>
      </c>
      <c r="B1114" s="2" t="s">
        <v>621</v>
      </c>
      <c r="C1114" s="2" t="s">
        <v>1502</v>
      </c>
      <c r="D1114" s="3" t="str">
        <f>HYPERLINK("https://12go.asia/en/travel/qingdao/jiaxiang", "12Go Link")</f>
        <v>12Go Link</v>
      </c>
      <c r="E1114" s="2" t="s">
        <v>77</v>
      </c>
    </row>
    <row r="1115">
      <c r="A1115" s="2" t="s">
        <v>1470</v>
      </c>
      <c r="B1115" s="2" t="s">
        <v>767</v>
      </c>
      <c r="C1115" s="2" t="s">
        <v>1503</v>
      </c>
      <c r="D1115" s="3" t="str">
        <f>HYPERLINK("https://12go.asia/en/travel/qingdao-north/jiujiang", "12Go Link")</f>
        <v>12Go Link</v>
      </c>
      <c r="E1115" s="2" t="s">
        <v>77</v>
      </c>
    </row>
    <row r="1116">
      <c r="A1116" s="2" t="s">
        <v>1470</v>
      </c>
      <c r="B1116" s="2" t="s">
        <v>767</v>
      </c>
      <c r="C1116" s="2" t="s">
        <v>1504</v>
      </c>
      <c r="D1116" s="3" t="str">
        <f>HYPERLINK("https://12go.asia/en/travel/qingdao/jiujiang", "12Go Link")</f>
        <v>12Go Link</v>
      </c>
      <c r="E1116" s="2" t="s">
        <v>77</v>
      </c>
    </row>
    <row r="1117">
      <c r="A1117" s="2" t="s">
        <v>1470</v>
      </c>
      <c r="B1117" s="2" t="s">
        <v>370</v>
      </c>
      <c r="C1117" s="2" t="s">
        <v>1505</v>
      </c>
      <c r="D1117" s="3" t="str">
        <f>HYPERLINK("https://12go.asia/en/travel/qingdao-north/lanzhou-west", "12Go Link")</f>
        <v>12Go Link</v>
      </c>
      <c r="E1117" s="2" t="s">
        <v>77</v>
      </c>
    </row>
    <row r="1118">
      <c r="A1118" s="2" t="s">
        <v>1470</v>
      </c>
      <c r="B1118" s="2" t="s">
        <v>370</v>
      </c>
      <c r="C1118" s="2" t="s">
        <v>1506</v>
      </c>
      <c r="D1118" s="3" t="str">
        <f>HYPERLINK("https://12go.asia/en/travel/qingdao/lanzhou-west", "12Go Link")</f>
        <v>12Go Link</v>
      </c>
      <c r="E1118" s="2" t="s">
        <v>77</v>
      </c>
    </row>
    <row r="1119">
      <c r="A1119" s="2" t="s">
        <v>1470</v>
      </c>
      <c r="B1119" s="2" t="s">
        <v>843</v>
      </c>
      <c r="C1119" s="2" t="s">
        <v>1507</v>
      </c>
      <c r="D1119" s="3" t="str">
        <f>HYPERLINK("https://12go.asia/en/travel/hongdao/linyi-north", "12Go Link")</f>
        <v>12Go Link</v>
      </c>
      <c r="E1119" s="2" t="s">
        <v>77</v>
      </c>
    </row>
    <row r="1120">
      <c r="A1120" s="2" t="s">
        <v>1470</v>
      </c>
      <c r="B1120" s="2" t="s">
        <v>1020</v>
      </c>
      <c r="C1120" s="2" t="s">
        <v>1508</v>
      </c>
      <c r="D1120" s="3" t="str">
        <f>HYPERLINK("https://12go.asia/en/travel/qingdao-north/liuzhou", "12Go Link")</f>
        <v>12Go Link</v>
      </c>
      <c r="E1120" s="2" t="s">
        <v>77</v>
      </c>
    </row>
    <row r="1121">
      <c r="A1121" s="2" t="s">
        <v>1470</v>
      </c>
      <c r="B1121" s="2" t="s">
        <v>1020</v>
      </c>
      <c r="C1121" s="2" t="s">
        <v>1509</v>
      </c>
      <c r="D1121" s="3" t="str">
        <f>HYPERLINK("https://12go.asia/en/travel/qingdao/liuzhou", "12Go Link")</f>
        <v>12Go Link</v>
      </c>
      <c r="E1121" s="2" t="s">
        <v>77</v>
      </c>
    </row>
    <row r="1122">
      <c r="A1122" s="2" t="s">
        <v>1470</v>
      </c>
      <c r="B1122" s="2" t="s">
        <v>454</v>
      </c>
      <c r="C1122" s="2" t="s">
        <v>1510</v>
      </c>
      <c r="D1122" s="3" t="str">
        <f>HYPERLINK("https://12go.asia/en/travel/hongdao/nanjing-south", "12Go Link")</f>
        <v>12Go Link</v>
      </c>
      <c r="E1122" s="2" t="s">
        <v>77</v>
      </c>
    </row>
    <row r="1123">
      <c r="A1123" s="2" t="s">
        <v>1470</v>
      </c>
      <c r="B1123" s="2" t="s">
        <v>454</v>
      </c>
      <c r="C1123" s="2" t="s">
        <v>1511</v>
      </c>
      <c r="D1123" s="3" t="str">
        <f>HYPERLINK("https://12go.asia/en/travel/qingdao-west/nanjing", "12Go Link")</f>
        <v>12Go Link</v>
      </c>
      <c r="E1123" s="2" t="s">
        <v>77</v>
      </c>
    </row>
    <row r="1124">
      <c r="A1124" s="2" t="s">
        <v>1470</v>
      </c>
      <c r="B1124" s="2" t="s">
        <v>454</v>
      </c>
      <c r="C1124" s="2" t="s">
        <v>1512</v>
      </c>
      <c r="D1124" s="3" t="str">
        <f>HYPERLINK("https://12go.asia/en/travel/qingdao-west/nanjing-south", "12Go Link")</f>
        <v>12Go Link</v>
      </c>
      <c r="E1124" s="2" t="s">
        <v>77</v>
      </c>
    </row>
    <row r="1125">
      <c r="A1125" s="2" t="s">
        <v>1470</v>
      </c>
      <c r="B1125" s="2" t="s">
        <v>484</v>
      </c>
      <c r="C1125" s="2" t="s">
        <v>1513</v>
      </c>
      <c r="D1125" s="3" t="str">
        <f>HYPERLINK("https://12go.asia/en/travel/qingdao/saihan", "12Go Link")</f>
        <v>12Go Link</v>
      </c>
      <c r="E1125" s="2" t="s">
        <v>77</v>
      </c>
    </row>
    <row r="1126">
      <c r="A1126" s="2" t="s">
        <v>1470</v>
      </c>
      <c r="B1126" s="2" t="s">
        <v>465</v>
      </c>
      <c r="C1126" s="2" t="s">
        <v>1514</v>
      </c>
      <c r="D1126" s="3" t="str">
        <f>HYPERLINK("https://12go.asia/en/travel/qingdao/shuangliu", "12Go Link")</f>
        <v>12Go Link</v>
      </c>
      <c r="E1126" s="2" t="s">
        <v>77</v>
      </c>
    </row>
    <row r="1127">
      <c r="A1127" s="2" t="s">
        <v>1470</v>
      </c>
      <c r="B1127" s="2" t="s">
        <v>897</v>
      </c>
      <c r="C1127" s="2" t="s">
        <v>1515</v>
      </c>
      <c r="D1127" s="3" t="str">
        <f>HYPERLINK("https://12go.asia/en/travel/hongdao/jining-north", "12Go Link")</f>
        <v>12Go Link</v>
      </c>
      <c r="E1127" s="2" t="s">
        <v>77</v>
      </c>
    </row>
    <row r="1128">
      <c r="A1128" s="2" t="s">
        <v>1470</v>
      </c>
      <c r="B1128" s="2" t="s">
        <v>897</v>
      </c>
      <c r="C1128" s="2" t="s">
        <v>1516</v>
      </c>
      <c r="D1128" s="3" t="str">
        <f>HYPERLINK("https://12go.asia/en/travel/qingdao-north/jining-north", "12Go Link")</f>
        <v>12Go Link</v>
      </c>
      <c r="E1128" s="2" t="s">
        <v>77</v>
      </c>
    </row>
    <row r="1129">
      <c r="A1129" s="2" t="s">
        <v>1470</v>
      </c>
      <c r="B1129" s="2" t="s">
        <v>897</v>
      </c>
      <c r="C1129" s="2" t="s">
        <v>1517</v>
      </c>
      <c r="D1129" s="3" t="str">
        <f>HYPERLINK("https://12go.asia/en/travel/qingdao/sihui", "12Go Link")</f>
        <v>12Go Link</v>
      </c>
      <c r="E1129" s="2" t="s">
        <v>77</v>
      </c>
    </row>
    <row r="1130">
      <c r="A1130" s="2" t="s">
        <v>1470</v>
      </c>
      <c r="B1130" s="2" t="s">
        <v>1518</v>
      </c>
      <c r="C1130" s="2" t="s">
        <v>1519</v>
      </c>
      <c r="D1130" s="3" t="str">
        <f>HYPERLINK("https://12go.asia/en/travel/qingdao-north/weihai-nanhai", "12Go Link")</f>
        <v>12Go Link</v>
      </c>
      <c r="E1130" s="2" t="s">
        <v>77</v>
      </c>
    </row>
    <row r="1131">
      <c r="A1131" s="2" t="s">
        <v>1470</v>
      </c>
      <c r="B1131" s="2" t="s">
        <v>1518</v>
      </c>
      <c r="C1131" s="2" t="s">
        <v>1520</v>
      </c>
      <c r="D1131" s="3" t="str">
        <f>HYPERLINK("https://12go.asia/en/travel/qingdao/wendeng", "12Go Link")</f>
        <v>12Go Link</v>
      </c>
      <c r="E1131" s="2" t="s">
        <v>77</v>
      </c>
    </row>
    <row r="1132">
      <c r="A1132" s="2" t="s">
        <v>1470</v>
      </c>
      <c r="B1132" s="2" t="s">
        <v>788</v>
      </c>
      <c r="C1132" s="2" t="s">
        <v>1521</v>
      </c>
      <c r="D1132" s="3" t="str">
        <f>HYPERLINK("https://12go.asia/en/travel/hongdao/hankou", "12Go Link")</f>
        <v>12Go Link</v>
      </c>
      <c r="E1132" s="2" t="s">
        <v>77</v>
      </c>
    </row>
    <row r="1133">
      <c r="A1133" s="2" t="s">
        <v>1470</v>
      </c>
      <c r="B1133" s="2" t="s">
        <v>425</v>
      </c>
      <c r="C1133" s="2" t="s">
        <v>1522</v>
      </c>
      <c r="D1133" s="3" t="str">
        <f>HYPERLINK("https://12go.asia/en/travel/qingdao/xigu", "12Go Link")</f>
        <v>12Go Link</v>
      </c>
      <c r="E1133" s="2" t="s">
        <v>77</v>
      </c>
    </row>
    <row r="1134">
      <c r="A1134" s="2" t="s">
        <v>1470</v>
      </c>
      <c r="B1134" s="2" t="s">
        <v>471</v>
      </c>
      <c r="C1134" s="2" t="s">
        <v>1523</v>
      </c>
      <c r="D1134" s="3" t="str">
        <f>HYPERLINK("https://12go.asia/en/travel/qingdao/xihu", "12Go Link")</f>
        <v>12Go Link</v>
      </c>
      <c r="E1134" s="2" t="s">
        <v>77</v>
      </c>
    </row>
    <row r="1135">
      <c r="A1135" s="2" t="s">
        <v>1470</v>
      </c>
      <c r="B1135" s="2" t="s">
        <v>588</v>
      </c>
      <c r="C1135" s="2" t="s">
        <v>1524</v>
      </c>
      <c r="D1135" s="3" t="str">
        <f>HYPERLINK("https://12go.asia/en/travel/hongdao/xinxiang-east", "12Go Link")</f>
        <v>12Go Link</v>
      </c>
      <c r="E1135" s="2" t="s">
        <v>77</v>
      </c>
    </row>
    <row r="1136">
      <c r="A1136" s="2" t="s">
        <v>1470</v>
      </c>
      <c r="B1136" s="2" t="s">
        <v>1022</v>
      </c>
      <c r="C1136" s="2" t="s">
        <v>1525</v>
      </c>
      <c r="D1136" s="3" t="str">
        <f>HYPERLINK("https://12go.asia/en/travel/hongdao/xinyang-east", "12Go Link")</f>
        <v>12Go Link</v>
      </c>
      <c r="E1136" s="2" t="s">
        <v>77</v>
      </c>
    </row>
    <row r="1137">
      <c r="A1137" s="2" t="s">
        <v>1470</v>
      </c>
      <c r="B1137" s="2" t="s">
        <v>1022</v>
      </c>
      <c r="C1137" s="2" t="s">
        <v>1526</v>
      </c>
      <c r="D1137" s="3" t="str">
        <f>HYPERLINK("https://12go.asia/en/travel/qingdao-north/xinyang-east", "12Go Link")</f>
        <v>12Go Link</v>
      </c>
      <c r="E1137" s="2" t="s">
        <v>77</v>
      </c>
    </row>
    <row r="1138">
      <c r="A1138" s="2" t="s">
        <v>1470</v>
      </c>
      <c r="B1138" s="2" t="s">
        <v>1022</v>
      </c>
      <c r="C1138" s="2" t="s">
        <v>1527</v>
      </c>
      <c r="D1138" s="3" t="str">
        <f>HYPERLINK("https://12go.asia/en/travel/qingdao/xinyang", "12Go Link")</f>
        <v>12Go Link</v>
      </c>
      <c r="E1138" s="2" t="s">
        <v>77</v>
      </c>
    </row>
    <row r="1139">
      <c r="A1139" s="2" t="s">
        <v>1470</v>
      </c>
      <c r="B1139" s="2" t="s">
        <v>1022</v>
      </c>
      <c r="C1139" s="2" t="s">
        <v>1528</v>
      </c>
      <c r="D1139" s="3" t="str">
        <f>HYPERLINK("https://12go.asia/en/travel/qingdao/xinyang-east", "12Go Link")</f>
        <v>12Go Link</v>
      </c>
      <c r="E1139" s="2" t="s">
        <v>77</v>
      </c>
    </row>
    <row r="1140">
      <c r="A1140" s="2" t="s">
        <v>1470</v>
      </c>
      <c r="B1140" s="2" t="s">
        <v>664</v>
      </c>
      <c r="C1140" s="2" t="s">
        <v>1529</v>
      </c>
      <c r="D1140" s="3" t="str">
        <f>HYPERLINK("https://12go.asia/en/travel/qingdao/xinyi", "12Go Link")</f>
        <v>12Go Link</v>
      </c>
      <c r="E1140" s="2" t="s">
        <v>77</v>
      </c>
    </row>
    <row r="1141">
      <c r="A1141" s="2" t="s">
        <v>1470</v>
      </c>
      <c r="B1141" s="2" t="s">
        <v>378</v>
      </c>
      <c r="C1141" s="2" t="s">
        <v>1530</v>
      </c>
      <c r="D1141" s="3" t="str">
        <f>HYPERLINK("https://12go.asia/en/travel/qingdao/xunxian", "12Go Link")</f>
        <v>12Go Link</v>
      </c>
      <c r="E1141" s="2" t="s">
        <v>77</v>
      </c>
    </row>
    <row r="1142">
      <c r="A1142" s="2" t="s">
        <v>1470</v>
      </c>
      <c r="B1142" s="2" t="s">
        <v>666</v>
      </c>
      <c r="C1142" s="2" t="s">
        <v>1531</v>
      </c>
      <c r="D1142" s="3" t="str">
        <f>HYPERLINK("https://12go.asia/en/travel/qingdao/yijiang", "12Go Link")</f>
        <v>12Go Link</v>
      </c>
      <c r="E1142" s="2" t="s">
        <v>77</v>
      </c>
    </row>
    <row r="1143">
      <c r="A1143" s="2" t="s">
        <v>1470</v>
      </c>
      <c r="B1143" s="2" t="s">
        <v>529</v>
      </c>
      <c r="C1143" s="2" t="s">
        <v>1532</v>
      </c>
      <c r="D1143" s="3" t="str">
        <f>HYPERLINK("https://12go.asia/en/travel/qingdao-north/jining-east", "12Go Link")</f>
        <v>12Go Link</v>
      </c>
      <c r="E1143" s="2" t="s">
        <v>77</v>
      </c>
    </row>
    <row r="1144">
      <c r="A1144" s="2" t="s">
        <v>1470</v>
      </c>
      <c r="B1144" s="2" t="s">
        <v>529</v>
      </c>
      <c r="C1144" s="2" t="s">
        <v>1533</v>
      </c>
      <c r="D1144" s="3" t="str">
        <f>HYPERLINK("https://12go.asia/en/travel/qingdao/jining-east", "12Go Link")</f>
        <v>12Go Link</v>
      </c>
      <c r="E1144" s="2" t="s">
        <v>77</v>
      </c>
    </row>
    <row r="1145">
      <c r="A1145" s="2" t="s">
        <v>1470</v>
      </c>
      <c r="B1145" s="2" t="s">
        <v>529</v>
      </c>
      <c r="C1145" s="2" t="s">
        <v>1534</v>
      </c>
      <c r="D1145" s="3" t="str">
        <f>HYPERLINK("https://12go.asia/en/travel/qingdao/yunxian", "12Go Link")</f>
        <v>12Go Link</v>
      </c>
      <c r="E1145" s="2" t="s">
        <v>77</v>
      </c>
    </row>
    <row r="1146">
      <c r="A1146" s="2" t="s">
        <v>1470</v>
      </c>
      <c r="B1146" s="2" t="s">
        <v>575</v>
      </c>
      <c r="C1146" s="2" t="s">
        <v>1535</v>
      </c>
      <c r="D1146" s="3" t="str">
        <f>HYPERLINK("https://12go.asia/en/travel/hongdao/zhangjiagang", "12Go Link")</f>
        <v>12Go Link</v>
      </c>
      <c r="E1146" s="2" t="s">
        <v>77</v>
      </c>
    </row>
    <row r="1147">
      <c r="A1147" s="2" t="s">
        <v>1470</v>
      </c>
      <c r="B1147" s="2" t="s">
        <v>575</v>
      </c>
      <c r="C1147" s="2" t="s">
        <v>1536</v>
      </c>
      <c r="D1147" s="3" t="str">
        <f>HYPERLINK("https://12go.asia/en/travel/qingdao-north/zhangjiagang", "12Go Link")</f>
        <v>12Go Link</v>
      </c>
      <c r="E1147" s="2" t="s">
        <v>77</v>
      </c>
    </row>
    <row r="1148">
      <c r="A1148" s="2" t="s">
        <v>1470</v>
      </c>
      <c r="B1148" s="2" t="s">
        <v>575</v>
      </c>
      <c r="C1148" s="2" t="s">
        <v>1537</v>
      </c>
      <c r="D1148" s="3" t="str">
        <f>HYPERLINK("https://12go.asia/en/travel/qingdao/zhangjiagang", "12Go Link")</f>
        <v>12Go Link</v>
      </c>
      <c r="E1148" s="2" t="s">
        <v>77</v>
      </c>
    </row>
    <row r="1149">
      <c r="A1149" s="2" t="s">
        <v>1470</v>
      </c>
      <c r="B1149" s="2" t="s">
        <v>799</v>
      </c>
      <c r="C1149" s="2" t="s">
        <v>1538</v>
      </c>
      <c r="D1149" s="3" t="str">
        <f>HYPERLINK("https://12go.asia/en/travel/hongdao/zhengzhou-hangkonggang", "12Go Link")</f>
        <v>12Go Link</v>
      </c>
      <c r="E1149" s="2" t="s">
        <v>77</v>
      </c>
    </row>
    <row r="1150">
      <c r="A1150" s="2" t="s">
        <v>1470</v>
      </c>
      <c r="B1150" s="2" t="s">
        <v>799</v>
      </c>
      <c r="C1150" s="2" t="s">
        <v>1539</v>
      </c>
      <c r="D1150" s="3" t="str">
        <f>HYPERLINK("https://12go.asia/en/travel/qingdao-north/zhengzhou-hangkonggang", "12Go Link")</f>
        <v>12Go Link</v>
      </c>
      <c r="E1150" s="2" t="s">
        <v>77</v>
      </c>
    </row>
    <row r="1151">
      <c r="A1151" s="2" t="s">
        <v>948</v>
      </c>
      <c r="B1151" s="2" t="s">
        <v>491</v>
      </c>
      <c r="C1151" s="2" t="s">
        <v>1540</v>
      </c>
      <c r="D1151" s="3" t="str">
        <f>HYPERLINK("https://12go.asia/en/travel/qinghai/beijing", "12Go Link")</f>
        <v>12Go Link</v>
      </c>
      <c r="E1151" s="2" t="s">
        <v>77</v>
      </c>
    </row>
    <row r="1152">
      <c r="A1152" s="2" t="s">
        <v>948</v>
      </c>
      <c r="B1152" s="2" t="s">
        <v>564</v>
      </c>
      <c r="C1152" s="2" t="s">
        <v>1541</v>
      </c>
      <c r="D1152" s="3" t="str">
        <f>HYPERLINK("https://12go.asia/en/travel/qinghai/changchun", "12Go Link")</f>
        <v>12Go Link</v>
      </c>
      <c r="E1152" s="2" t="s">
        <v>77</v>
      </c>
    </row>
    <row r="1153">
      <c r="A1153" s="2" t="s">
        <v>948</v>
      </c>
      <c r="B1153" s="2" t="s">
        <v>408</v>
      </c>
      <c r="C1153" s="2" t="s">
        <v>1542</v>
      </c>
      <c r="D1153" s="3" t="str">
        <f>HYPERLINK("https://12go.asia/en/travel/qinghai/chengdu", "12Go Link")</f>
        <v>12Go Link</v>
      </c>
      <c r="E1153" s="2" t="s">
        <v>77</v>
      </c>
    </row>
    <row r="1154">
      <c r="A1154" s="2" t="s">
        <v>948</v>
      </c>
      <c r="B1154" s="2" t="s">
        <v>1543</v>
      </c>
      <c r="C1154" s="2" t="s">
        <v>1544</v>
      </c>
      <c r="D1154" s="3" t="str">
        <f>HYPERLINK("https://12go.asia/en/travel/qinghai/dunhuang", "12Go Link")</f>
        <v>12Go Link</v>
      </c>
      <c r="E1154" s="2" t="s">
        <v>77</v>
      </c>
    </row>
    <row r="1155">
      <c r="A1155" s="2" t="s">
        <v>948</v>
      </c>
      <c r="B1155" s="2" t="s">
        <v>368</v>
      </c>
      <c r="C1155" s="2" t="s">
        <v>1545</v>
      </c>
      <c r="D1155" s="3" t="str">
        <f>HYPERLINK("https://12go.asia/en/travel/qinghai/gansu", "12Go Link")</f>
        <v>12Go Link</v>
      </c>
      <c r="E1155" s="2" t="s">
        <v>77</v>
      </c>
    </row>
    <row r="1156">
      <c r="A1156" s="2" t="s">
        <v>948</v>
      </c>
      <c r="B1156" s="2" t="s">
        <v>711</v>
      </c>
      <c r="C1156" s="2" t="s">
        <v>1546</v>
      </c>
      <c r="D1156" s="3" t="str">
        <f>HYPERLINK("https://12go.asia/en/travel/qinghai/guangdong", "12Go Link")</f>
        <v>12Go Link</v>
      </c>
      <c r="E1156" s="2" t="s">
        <v>77</v>
      </c>
    </row>
    <row r="1157">
      <c r="A1157" s="2" t="s">
        <v>948</v>
      </c>
      <c r="B1157" s="2" t="s">
        <v>713</v>
      </c>
      <c r="C1157" s="2" t="s">
        <v>1547</v>
      </c>
      <c r="D1157" s="3" t="str">
        <f>HYPERLINK("https://12go.asia/en/travel/qinghai/guangzhou", "12Go Link")</f>
        <v>12Go Link</v>
      </c>
      <c r="E1157" s="2" t="s">
        <v>77</v>
      </c>
    </row>
    <row r="1158">
      <c r="A1158" s="2" t="s">
        <v>948</v>
      </c>
      <c r="B1158" s="2" t="s">
        <v>538</v>
      </c>
      <c r="C1158" s="2" t="s">
        <v>1548</v>
      </c>
      <c r="D1158" s="3" t="str">
        <f>HYPERLINK("https://12go.asia/en/travel/qinghai/harbin", "12Go Link")</f>
        <v>12Go Link</v>
      </c>
      <c r="E1158" s="2" t="s">
        <v>77</v>
      </c>
    </row>
    <row r="1159">
      <c r="A1159" s="2" t="s">
        <v>948</v>
      </c>
      <c r="B1159" s="2" t="s">
        <v>645</v>
      </c>
      <c r="C1159" s="2" t="s">
        <v>1549</v>
      </c>
      <c r="D1159" s="3" t="str">
        <f>HYPERLINK("https://12go.asia/en/travel/qinghai/hebei", "12Go Link")</f>
        <v>12Go Link</v>
      </c>
      <c r="E1159" s="2" t="s">
        <v>77</v>
      </c>
    </row>
    <row r="1160">
      <c r="A1160" s="2" t="s">
        <v>948</v>
      </c>
      <c r="B1160" s="2" t="s">
        <v>376</v>
      </c>
      <c r="C1160" s="2" t="s">
        <v>1550</v>
      </c>
      <c r="D1160" s="3" t="str">
        <f>HYPERLINK("https://12go.asia/en/travel/qinghai/heilongjiang", "12Go Link")</f>
        <v>12Go Link</v>
      </c>
      <c r="E1160" s="2" t="s">
        <v>77</v>
      </c>
    </row>
    <row r="1161">
      <c r="A1161" s="2" t="s">
        <v>948</v>
      </c>
      <c r="B1161" s="2" t="s">
        <v>750</v>
      </c>
      <c r="C1161" s="2" t="s">
        <v>1551</v>
      </c>
      <c r="D1161" s="3" t="str">
        <f>HYPERLINK("https://12go.asia/en/travel/qinghai/henan", "12Go Link")</f>
        <v>12Go Link</v>
      </c>
      <c r="E1161" s="2" t="s">
        <v>77</v>
      </c>
    </row>
    <row r="1162">
      <c r="A1162" s="2" t="s">
        <v>948</v>
      </c>
      <c r="B1162" s="2" t="s">
        <v>434</v>
      </c>
      <c r="C1162" s="2" t="s">
        <v>1552</v>
      </c>
      <c r="D1162" s="3" t="str">
        <f>HYPERLINK("https://12go.asia/en/travel/qinghai/hohhot", "12Go Link")</f>
        <v>12Go Link</v>
      </c>
      <c r="E1162" s="2" t="s">
        <v>77</v>
      </c>
    </row>
    <row r="1163">
      <c r="A1163" s="2" t="s">
        <v>948</v>
      </c>
      <c r="B1163" s="2" t="s">
        <v>870</v>
      </c>
      <c r="C1163" s="2" t="s">
        <v>1553</v>
      </c>
      <c r="D1163" s="3" t="str">
        <f>HYPERLINK("https://12go.asia/en/travel/qinghai/huaxi", "12Go Link")</f>
        <v>12Go Link</v>
      </c>
      <c r="E1163" s="2" t="s">
        <v>77</v>
      </c>
    </row>
    <row r="1164">
      <c r="A1164" s="2" t="s">
        <v>948</v>
      </c>
      <c r="B1164" s="2" t="s">
        <v>874</v>
      </c>
      <c r="C1164" s="2" t="s">
        <v>1554</v>
      </c>
      <c r="D1164" s="3" t="str">
        <f>HYPERLINK("https://12go.asia/en/travel/qinghai/hunan", "12Go Link")</f>
        <v>12Go Link</v>
      </c>
      <c r="E1164" s="2" t="s">
        <v>77</v>
      </c>
    </row>
    <row r="1165">
      <c r="A1165" s="2" t="s">
        <v>948</v>
      </c>
      <c r="B1165" s="2" t="s">
        <v>450</v>
      </c>
      <c r="C1165" s="2" t="s">
        <v>1555</v>
      </c>
      <c r="D1165" s="3" t="str">
        <f>HYPERLINK("https://12go.asia/en/travel/qinghai/jiangning", "12Go Link")</f>
        <v>12Go Link</v>
      </c>
      <c r="E1165" s="2" t="s">
        <v>77</v>
      </c>
    </row>
    <row r="1166">
      <c r="A1166" s="2" t="s">
        <v>948</v>
      </c>
      <c r="B1166" s="2" t="s">
        <v>452</v>
      </c>
      <c r="C1166" s="2" t="s">
        <v>1556</v>
      </c>
      <c r="D1166" s="3" t="str">
        <f>HYPERLINK("https://12go.asia/en/travel/qinghai/jiangsu", "12Go Link")</f>
        <v>12Go Link</v>
      </c>
      <c r="E1166" s="2" t="s">
        <v>77</v>
      </c>
    </row>
    <row r="1167">
      <c r="A1167" s="2" t="s">
        <v>948</v>
      </c>
      <c r="B1167" s="2" t="s">
        <v>648</v>
      </c>
      <c r="C1167" s="2" t="s">
        <v>1557</v>
      </c>
      <c r="D1167" s="3" t="str">
        <f>HYPERLINK("https://12go.asia/en/travel/qinghai/jiangzhou", "12Go Link")</f>
        <v>12Go Link</v>
      </c>
      <c r="E1167" s="2" t="s">
        <v>77</v>
      </c>
    </row>
    <row r="1168">
      <c r="A1168" s="2" t="s">
        <v>948</v>
      </c>
      <c r="B1168" s="2" t="s">
        <v>650</v>
      </c>
      <c r="C1168" s="2" t="s">
        <v>1558</v>
      </c>
      <c r="D1168" s="3" t="str">
        <f>HYPERLINK("https://12go.asia/en/travel/qinghai/jiaocheng", "12Go Link")</f>
        <v>12Go Link</v>
      </c>
      <c r="E1168" s="2" t="s">
        <v>77</v>
      </c>
    </row>
    <row r="1169">
      <c r="A1169" s="2" t="s">
        <v>948</v>
      </c>
      <c r="B1169" s="2" t="s">
        <v>807</v>
      </c>
      <c r="C1169" s="2" t="s">
        <v>1559</v>
      </c>
      <c r="D1169" s="3" t="str">
        <f>HYPERLINK("https://12go.asia/en/travel/qinghai/jinan", "12Go Link")</f>
        <v>12Go Link</v>
      </c>
      <c r="E1169" s="2" t="s">
        <v>77</v>
      </c>
    </row>
    <row r="1170">
      <c r="A1170" s="2" t="s">
        <v>948</v>
      </c>
      <c r="B1170" s="2" t="s">
        <v>1217</v>
      </c>
      <c r="C1170" s="2" t="s">
        <v>1560</v>
      </c>
      <c r="D1170" s="3" t="str">
        <f>HYPERLINK("https://12go.asia/en/travel/qinghai/jiuquan", "12Go Link")</f>
        <v>12Go Link</v>
      </c>
      <c r="E1170" s="2" t="s">
        <v>77</v>
      </c>
    </row>
    <row r="1171">
      <c r="A1171" s="2" t="s">
        <v>948</v>
      </c>
      <c r="B1171" s="2" t="s">
        <v>980</v>
      </c>
      <c r="C1171" s="2" t="s">
        <v>1561</v>
      </c>
      <c r="D1171" s="3" t="str">
        <f>HYPERLINK("https://12go.asia/en/travel/qinghai/kaifeng", "12Go Link")</f>
        <v>12Go Link</v>
      </c>
      <c r="E1171" s="2" t="s">
        <v>77</v>
      </c>
    </row>
    <row r="1172">
      <c r="A1172" s="2" t="s">
        <v>948</v>
      </c>
      <c r="B1172" s="2" t="s">
        <v>652</v>
      </c>
      <c r="C1172" s="2" t="s">
        <v>1562</v>
      </c>
      <c r="D1172" s="3" t="str">
        <f>HYPERLINK("https://12go.asia/en/travel/qinghai/liaoning", "12Go Link")</f>
        <v>12Go Link</v>
      </c>
      <c r="E1172" s="2" t="s">
        <v>77</v>
      </c>
    </row>
    <row r="1173">
      <c r="A1173" s="2" t="s">
        <v>948</v>
      </c>
      <c r="B1173" s="2" t="s">
        <v>1563</v>
      </c>
      <c r="C1173" s="2" t="s">
        <v>1564</v>
      </c>
      <c r="D1173" s="3" t="str">
        <f>HYPERLINK("https://12go.asia/en/travel/qinghai/mianyang", "12Go Link")</f>
        <v>12Go Link</v>
      </c>
      <c r="E1173" s="2" t="s">
        <v>77</v>
      </c>
    </row>
    <row r="1174">
      <c r="A1174" s="2" t="s">
        <v>948</v>
      </c>
      <c r="B1174" s="2" t="s">
        <v>461</v>
      </c>
      <c r="C1174" s="2" t="s">
        <v>1565</v>
      </c>
      <c r="D1174" s="3" t="str">
        <f>HYPERLINK("https://12go.asia/en/travel/qinghai/shanghai-hongqiao-airport", "12Go Link")</f>
        <v>12Go Link</v>
      </c>
      <c r="E1174" s="2" t="s">
        <v>77</v>
      </c>
    </row>
    <row r="1175">
      <c r="A1175" s="2" t="s">
        <v>948</v>
      </c>
      <c r="B1175" s="2" t="s">
        <v>603</v>
      </c>
      <c r="C1175" s="2" t="s">
        <v>1566</v>
      </c>
      <c r="D1175" s="3" t="str">
        <f>HYPERLINK("https://12go.asia/en/travel/qinghai/shenyang", "12Go Link")</f>
        <v>12Go Link</v>
      </c>
      <c r="E1175" s="2" t="s">
        <v>77</v>
      </c>
    </row>
    <row r="1176">
      <c r="A1176" s="2" t="s">
        <v>948</v>
      </c>
      <c r="B1176" s="2" t="s">
        <v>465</v>
      </c>
      <c r="C1176" s="2" t="s">
        <v>1567</v>
      </c>
      <c r="D1176" s="3" t="str">
        <f>HYPERLINK("https://12go.asia/en/travel/qinghai/shuangliu", "12Go Link")</f>
        <v>12Go Link</v>
      </c>
      <c r="E1176" s="2" t="s">
        <v>77</v>
      </c>
    </row>
    <row r="1177">
      <c r="A1177" s="2" t="s">
        <v>948</v>
      </c>
      <c r="B1177" s="2" t="s">
        <v>486</v>
      </c>
      <c r="C1177" s="2" t="s">
        <v>1568</v>
      </c>
      <c r="D1177" s="3" t="str">
        <f>HYPERLINK("https://12go.asia/en/travel/qinghai/sichuan", "12Go Link")</f>
        <v>12Go Link</v>
      </c>
      <c r="E1177" s="2" t="s">
        <v>77</v>
      </c>
    </row>
    <row r="1178">
      <c r="A1178" s="2" t="s">
        <v>948</v>
      </c>
      <c r="B1178" s="2" t="s">
        <v>436</v>
      </c>
      <c r="C1178" s="2" t="s">
        <v>1569</v>
      </c>
      <c r="D1178" s="3" t="str">
        <f>HYPERLINK("https://12go.asia/en/travel/qinghai/taian", "12Go Link")</f>
        <v>12Go Link</v>
      </c>
      <c r="E1178" s="2" t="s">
        <v>77</v>
      </c>
    </row>
    <row r="1179">
      <c r="A1179" s="2" t="s">
        <v>948</v>
      </c>
      <c r="B1179" s="2" t="s">
        <v>1052</v>
      </c>
      <c r="C1179" s="2" t="s">
        <v>1570</v>
      </c>
      <c r="D1179" s="3" t="str">
        <f>HYPERLINK("https://12go.asia/en/travel/qinghai/tianshui", "12Go Link")</f>
        <v>12Go Link</v>
      </c>
      <c r="E1179" s="2" t="s">
        <v>77</v>
      </c>
    </row>
    <row r="1180">
      <c r="A1180" s="2" t="s">
        <v>948</v>
      </c>
      <c r="B1180" s="2" t="s">
        <v>467</v>
      </c>
      <c r="C1180" s="2" t="s">
        <v>1571</v>
      </c>
      <c r="D1180" s="3" t="str">
        <f>HYPERLINK("https://12go.asia/en/travel/qinghai/wenjiang", "12Go Link")</f>
        <v>12Go Link</v>
      </c>
      <c r="E1180" s="2" t="s">
        <v>77</v>
      </c>
    </row>
    <row r="1181">
      <c r="A1181" s="2" t="s">
        <v>948</v>
      </c>
      <c r="B1181" s="2" t="s">
        <v>788</v>
      </c>
      <c r="C1181" s="2" t="s">
        <v>1572</v>
      </c>
      <c r="D1181" s="3" t="str">
        <f>HYPERLINK("https://12go.asia/en/travel/qinghai/wuhan", "12Go Link")</f>
        <v>12Go Link</v>
      </c>
      <c r="E1181" s="2" t="s">
        <v>77</v>
      </c>
    </row>
    <row r="1182">
      <c r="A1182" s="2" t="s">
        <v>948</v>
      </c>
      <c r="B1182" s="2" t="s">
        <v>469</v>
      </c>
      <c r="C1182" s="2" t="s">
        <v>1573</v>
      </c>
      <c r="D1182" s="3" t="str">
        <f>HYPERLINK("https://12go.asia/en/travel/qinghai/xian", "12Go Link")</f>
        <v>12Go Link</v>
      </c>
      <c r="E1182" s="2" t="s">
        <v>77</v>
      </c>
    </row>
    <row r="1183">
      <c r="A1183" s="2" t="s">
        <v>948</v>
      </c>
      <c r="B1183" s="2" t="s">
        <v>425</v>
      </c>
      <c r="C1183" s="2" t="s">
        <v>1574</v>
      </c>
      <c r="D1183" s="3" t="str">
        <f>HYPERLINK("https://12go.asia/en/travel/qinghai/xigu", "12Go Link")</f>
        <v>12Go Link</v>
      </c>
      <c r="E1183" s="2" t="s">
        <v>77</v>
      </c>
    </row>
    <row r="1184">
      <c r="A1184" s="2" t="s">
        <v>948</v>
      </c>
      <c r="B1184" s="2" t="s">
        <v>400</v>
      </c>
      <c r="C1184" s="2" t="s">
        <v>1575</v>
      </c>
      <c r="D1184" s="3" t="str">
        <f>HYPERLINK("https://12go.asia/en/travel/qinghai/xinjiang", "12Go Link")</f>
        <v>12Go Link</v>
      </c>
      <c r="E1184" s="2" t="s">
        <v>77</v>
      </c>
    </row>
    <row r="1185">
      <c r="A1185" s="2" t="s">
        <v>948</v>
      </c>
      <c r="B1185" s="2" t="s">
        <v>1437</v>
      </c>
      <c r="C1185" s="2" t="s">
        <v>1576</v>
      </c>
      <c r="D1185" s="3" t="str">
        <f>HYPERLINK("https://12go.asia/en/travel/qinghai/xuzhou", "12Go Link")</f>
        <v>12Go Link</v>
      </c>
      <c r="E1185" s="2" t="s">
        <v>77</v>
      </c>
    </row>
    <row r="1186">
      <c r="A1186" s="2" t="s">
        <v>948</v>
      </c>
      <c r="B1186" s="2" t="s">
        <v>799</v>
      </c>
      <c r="C1186" s="2" t="s">
        <v>1577</v>
      </c>
      <c r="D1186" s="3" t="str">
        <f>HYPERLINK("https://12go.asia/en/travel/qinghai/zhengzhou", "12Go Link")</f>
        <v>12Go Link</v>
      </c>
      <c r="E1186" s="2" t="s">
        <v>77</v>
      </c>
    </row>
    <row r="1187">
      <c r="A1187" s="2" t="s">
        <v>546</v>
      </c>
      <c r="B1187" s="2" t="s">
        <v>405</v>
      </c>
      <c r="C1187" s="2" t="s">
        <v>1578</v>
      </c>
      <c r="D1187" s="3" t="str">
        <f>HYPERLINK("https://12go.asia/en/travel/qinghe/xuanhua-north", "12Go Link")</f>
        <v>12Go Link</v>
      </c>
      <c r="E1187" s="2" t="s">
        <v>77</v>
      </c>
    </row>
    <row r="1188">
      <c r="A1188" s="2" t="s">
        <v>938</v>
      </c>
      <c r="B1188" s="2" t="s">
        <v>711</v>
      </c>
      <c r="C1188" s="2" t="s">
        <v>1579</v>
      </c>
      <c r="D1188" s="3" t="str">
        <f>HYPERLINK("https://12go.asia/en/travel/qingyuan/guangdong", "12Go Link")</f>
        <v>12Go Link</v>
      </c>
      <c r="E1188" s="2" t="s">
        <v>77</v>
      </c>
    </row>
    <row r="1189">
      <c r="A1189" s="2" t="s">
        <v>938</v>
      </c>
      <c r="B1189" s="2" t="s">
        <v>874</v>
      </c>
      <c r="C1189" s="2" t="s">
        <v>1580</v>
      </c>
      <c r="D1189" s="3" t="str">
        <f>HYPERLINK("https://12go.asia/en/travel/qingyuan/hunan", "12Go Link")</f>
        <v>12Go Link</v>
      </c>
      <c r="E1189" s="2" t="s">
        <v>77</v>
      </c>
    </row>
    <row r="1190">
      <c r="A1190" s="2" t="s">
        <v>733</v>
      </c>
      <c r="B1190" s="2" t="s">
        <v>491</v>
      </c>
      <c r="C1190" s="2" t="s">
        <v>1581</v>
      </c>
      <c r="D1190" s="3" t="str">
        <f>HYPERLINK("https://12go.asia/en/travel/guian/beijing-west", "12Go Link")</f>
        <v>12Go Link</v>
      </c>
      <c r="E1190" s="2" t="s">
        <v>77</v>
      </c>
    </row>
    <row r="1191">
      <c r="A1191" s="2" t="s">
        <v>733</v>
      </c>
      <c r="B1191" s="2" t="s">
        <v>491</v>
      </c>
      <c r="C1191" s="2" t="s">
        <v>1582</v>
      </c>
      <c r="D1191" s="3" t="str">
        <f>HYPERLINK("https://12go.asia/en/travel/qingzhen/beijing", "12Go Link")</f>
        <v>12Go Link</v>
      </c>
      <c r="E1191" s="2" t="s">
        <v>77</v>
      </c>
    </row>
    <row r="1192">
      <c r="A1192" s="2" t="s">
        <v>733</v>
      </c>
      <c r="B1192" s="2" t="s">
        <v>578</v>
      </c>
      <c r="C1192" s="2" t="s">
        <v>1583</v>
      </c>
      <c r="D1192" s="3" t="str">
        <f>HYPERLINK("https://12go.asia/en/travel/guian/changsha-south", "12Go Link")</f>
        <v>12Go Link</v>
      </c>
      <c r="E1192" s="2" t="s">
        <v>77</v>
      </c>
    </row>
    <row r="1193">
      <c r="A1193" s="2" t="s">
        <v>733</v>
      </c>
      <c r="B1193" s="2" t="s">
        <v>578</v>
      </c>
      <c r="C1193" s="2" t="s">
        <v>1584</v>
      </c>
      <c r="D1193" s="3" t="str">
        <f>HYPERLINK("https://12go.asia/en/travel/qingzhen/changsha", "12Go Link")</f>
        <v>12Go Link</v>
      </c>
      <c r="E1193" s="2" t="s">
        <v>77</v>
      </c>
    </row>
    <row r="1194">
      <c r="A1194" s="2" t="s">
        <v>733</v>
      </c>
      <c r="B1194" s="2" t="s">
        <v>623</v>
      </c>
      <c r="C1194" s="2" t="s">
        <v>1585</v>
      </c>
      <c r="D1194" s="3" t="str">
        <f>HYPERLINK("https://12go.asia/en/travel/guian/chongqing-west", "12Go Link")</f>
        <v>12Go Link</v>
      </c>
      <c r="E1194" s="2" t="s">
        <v>77</v>
      </c>
    </row>
    <row r="1195">
      <c r="A1195" s="2" t="s">
        <v>733</v>
      </c>
      <c r="B1195" s="2" t="s">
        <v>623</v>
      </c>
      <c r="C1195" s="2" t="s">
        <v>1586</v>
      </c>
      <c r="D1195" s="3" t="str">
        <f>HYPERLINK("https://12go.asia/en/travel/qingzhen/chongqing", "12Go Link")</f>
        <v>12Go Link</v>
      </c>
      <c r="E1195" s="2" t="s">
        <v>77</v>
      </c>
    </row>
    <row r="1196">
      <c r="A1196" s="2" t="s">
        <v>733</v>
      </c>
      <c r="B1196" s="2" t="s">
        <v>415</v>
      </c>
      <c r="C1196" s="2" t="s">
        <v>1587</v>
      </c>
      <c r="D1196" s="3" t="str">
        <f>HYPERLINK("https://12go.asia/en/travel/guian/jinyangnan", "12Go Link")</f>
        <v>12Go Link</v>
      </c>
      <c r="E1196" s="2" t="s">
        <v>77</v>
      </c>
    </row>
    <row r="1197">
      <c r="A1197" s="2" t="s">
        <v>733</v>
      </c>
      <c r="B1197" s="2" t="s">
        <v>415</v>
      </c>
      <c r="C1197" s="2" t="s">
        <v>1588</v>
      </c>
      <c r="D1197" s="3" t="str">
        <f>HYPERLINK("https://12go.asia/en/travel/qingzhen/guzhang", "12Go Link")</f>
        <v>12Go Link</v>
      </c>
      <c r="E1197" s="2" t="s">
        <v>77</v>
      </c>
    </row>
    <row r="1198">
      <c r="A1198" s="2" t="s">
        <v>733</v>
      </c>
      <c r="B1198" s="2" t="s">
        <v>746</v>
      </c>
      <c r="C1198" s="2" t="s">
        <v>1589</v>
      </c>
      <c r="D1198" s="3" t="str">
        <f>HYPERLINK("https://12go.asia/en/travel/guian/hangzhou-east", "12Go Link")</f>
        <v>12Go Link</v>
      </c>
      <c r="E1198" s="2" t="s">
        <v>77</v>
      </c>
    </row>
    <row r="1199">
      <c r="A1199" s="2" t="s">
        <v>733</v>
      </c>
      <c r="B1199" s="2" t="s">
        <v>746</v>
      </c>
      <c r="C1199" s="2" t="s">
        <v>1590</v>
      </c>
      <c r="D1199" s="3" t="str">
        <f>HYPERLINK("https://12go.asia/en/travel/qingzhen/hangzhou", "12Go Link")</f>
        <v>12Go Link</v>
      </c>
      <c r="E1199" s="2" t="s">
        <v>77</v>
      </c>
    </row>
    <row r="1200">
      <c r="A1200" s="2" t="s">
        <v>733</v>
      </c>
      <c r="B1200" s="2" t="s">
        <v>595</v>
      </c>
      <c r="C1200" s="2" t="s">
        <v>1591</v>
      </c>
      <c r="D1200" s="3" t="str">
        <f>HYPERLINK("https://12go.asia/en/travel/guian/huaihua-south", "12Go Link")</f>
        <v>12Go Link</v>
      </c>
      <c r="E1200" s="2" t="s">
        <v>77</v>
      </c>
    </row>
    <row r="1201">
      <c r="A1201" s="2" t="s">
        <v>733</v>
      </c>
      <c r="B1201" s="2" t="s">
        <v>595</v>
      </c>
      <c r="C1201" s="2" t="s">
        <v>1592</v>
      </c>
      <c r="D1201" s="3" t="str">
        <f>HYPERLINK("https://12go.asia/en/travel/qingzhen/huaihua", "12Go Link")</f>
        <v>12Go Link</v>
      </c>
      <c r="E1201" s="2" t="s">
        <v>77</v>
      </c>
    </row>
    <row r="1202">
      <c r="A1202" s="2" t="s">
        <v>733</v>
      </c>
      <c r="B1202" s="2" t="s">
        <v>874</v>
      </c>
      <c r="C1202" s="2" t="s">
        <v>1593</v>
      </c>
      <c r="D1202" s="3" t="str">
        <f>HYPERLINK("https://12go.asia/en/travel/qingzhen/hunan", "12Go Link")</f>
        <v>12Go Link</v>
      </c>
      <c r="E1202" s="2" t="s">
        <v>77</v>
      </c>
    </row>
    <row r="1203">
      <c r="A1203" s="2" t="s">
        <v>733</v>
      </c>
      <c r="B1203" s="2" t="s">
        <v>1594</v>
      </c>
      <c r="C1203" s="2" t="s">
        <v>1595</v>
      </c>
      <c r="D1203" s="3" t="str">
        <f>HYPERLINK("https://12go.asia/en/travel/qingzhen/jiangan", "12Go Link")</f>
        <v>12Go Link</v>
      </c>
      <c r="E1203" s="2" t="s">
        <v>77</v>
      </c>
    </row>
    <row r="1204">
      <c r="A1204" s="2" t="s">
        <v>733</v>
      </c>
      <c r="B1204" s="2" t="s">
        <v>763</v>
      </c>
      <c r="C1204" s="2" t="s">
        <v>1596</v>
      </c>
      <c r="D1204" s="3" t="str">
        <f>HYPERLINK("https://12go.asia/en/travel/guian/jinhua", "12Go Link")</f>
        <v>12Go Link</v>
      </c>
      <c r="E1204" s="2" t="s">
        <v>77</v>
      </c>
    </row>
    <row r="1205">
      <c r="A1205" s="2" t="s">
        <v>733</v>
      </c>
      <c r="B1205" s="2" t="s">
        <v>763</v>
      </c>
      <c r="C1205" s="2" t="s">
        <v>1597</v>
      </c>
      <c r="D1205" s="3" t="str">
        <f>HYPERLINK("https://12go.asia/en/travel/qingzhen/jinhua", "12Go Link")</f>
        <v>12Go Link</v>
      </c>
      <c r="E1205" s="2" t="s">
        <v>77</v>
      </c>
    </row>
    <row r="1206">
      <c r="A1206" s="2" t="s">
        <v>733</v>
      </c>
      <c r="B1206" s="2" t="s">
        <v>1225</v>
      </c>
      <c r="C1206" s="2" t="s">
        <v>1598</v>
      </c>
      <c r="D1206" s="3" t="str">
        <f>HYPERLINK("https://12go.asia/en/travel/guian/kaili-south", "12Go Link")</f>
        <v>12Go Link</v>
      </c>
      <c r="E1206" s="2" t="s">
        <v>77</v>
      </c>
    </row>
    <row r="1207">
      <c r="A1207" s="2" t="s">
        <v>733</v>
      </c>
      <c r="B1207" s="2" t="s">
        <v>1225</v>
      </c>
      <c r="C1207" s="2" t="s">
        <v>1599</v>
      </c>
      <c r="D1207" s="3" t="str">
        <f>HYPERLINK("https://12go.asia/en/travel/qingzhen/kaili-city", "12Go Link")</f>
        <v>12Go Link</v>
      </c>
      <c r="E1207" s="2" t="s">
        <v>77</v>
      </c>
    </row>
    <row r="1208">
      <c r="A1208" s="2" t="s">
        <v>733</v>
      </c>
      <c r="B1208" s="2" t="s">
        <v>1229</v>
      </c>
      <c r="C1208" s="2" t="s">
        <v>1600</v>
      </c>
      <c r="D1208" s="3" t="str">
        <f>HYPERLINK("https://12go.asia/en/travel/guian/kunming-south", "12Go Link")</f>
        <v>12Go Link</v>
      </c>
      <c r="E1208" s="2" t="s">
        <v>77</v>
      </c>
    </row>
    <row r="1209">
      <c r="A1209" s="2" t="s">
        <v>733</v>
      </c>
      <c r="B1209" s="2" t="s">
        <v>1229</v>
      </c>
      <c r="C1209" s="2" t="s">
        <v>1601</v>
      </c>
      <c r="D1209" s="3" t="str">
        <f>HYPERLINK("https://12go.asia/en/travel/qingzhen/kunming", "12Go Link")</f>
        <v>12Go Link</v>
      </c>
      <c r="E1209" s="2" t="s">
        <v>77</v>
      </c>
    </row>
    <row r="1210">
      <c r="A1210" s="2" t="s">
        <v>733</v>
      </c>
      <c r="B1210" s="2" t="s">
        <v>1602</v>
      </c>
      <c r="C1210" s="2" t="s">
        <v>1603</v>
      </c>
      <c r="D1210" s="3" t="str">
        <f>HYPERLINK("https://12go.asia/en/travel/guian/liupanshui", "12Go Link")</f>
        <v>12Go Link</v>
      </c>
      <c r="E1210" s="2" t="s">
        <v>77</v>
      </c>
    </row>
    <row r="1211">
      <c r="A1211" s="2" t="s">
        <v>733</v>
      </c>
      <c r="B1211" s="2" t="s">
        <v>1602</v>
      </c>
      <c r="C1211" s="2" t="s">
        <v>1604</v>
      </c>
      <c r="D1211" s="3" t="str">
        <f>HYPERLINK("https://12go.asia/en/travel/guian/liupanshuidong", "12Go Link")</f>
        <v>12Go Link</v>
      </c>
      <c r="E1211" s="2" t="s">
        <v>77</v>
      </c>
    </row>
    <row r="1212">
      <c r="A1212" s="2" t="s">
        <v>733</v>
      </c>
      <c r="B1212" s="2" t="s">
        <v>1602</v>
      </c>
      <c r="C1212" s="2" t="s">
        <v>1605</v>
      </c>
      <c r="D1212" s="3" t="str">
        <f>HYPERLINK("https://12go.asia/en/travel/qingzhen/liupanshui", "12Go Link")</f>
        <v>12Go Link</v>
      </c>
      <c r="E1212" s="2" t="s">
        <v>77</v>
      </c>
    </row>
    <row r="1213">
      <c r="A1213" s="2" t="s">
        <v>733</v>
      </c>
      <c r="B1213" s="2" t="s">
        <v>558</v>
      </c>
      <c r="C1213" s="2" t="s">
        <v>1606</v>
      </c>
      <c r="D1213" s="3" t="str">
        <f>HYPERLINK("https://12go.asia/en/travel/guian/nanchang-west", "12Go Link")</f>
        <v>12Go Link</v>
      </c>
      <c r="E1213" s="2" t="s">
        <v>77</v>
      </c>
    </row>
    <row r="1214">
      <c r="A1214" s="2" t="s">
        <v>733</v>
      </c>
      <c r="B1214" s="2" t="s">
        <v>558</v>
      </c>
      <c r="C1214" s="2" t="s">
        <v>1607</v>
      </c>
      <c r="D1214" s="3" t="str">
        <f>HYPERLINK("https://12go.asia/en/travel/qingzhen/nanchang", "12Go Link")</f>
        <v>12Go Link</v>
      </c>
      <c r="E1214" s="2" t="s">
        <v>77</v>
      </c>
    </row>
    <row r="1215">
      <c r="A1215" s="2" t="s">
        <v>733</v>
      </c>
      <c r="B1215" s="2" t="s">
        <v>1608</v>
      </c>
      <c r="C1215" s="2" t="s">
        <v>1609</v>
      </c>
      <c r="D1215" s="3" t="str">
        <f>HYPERLINK("https://12go.asia/en/travel/guian/shuanglongnan", "12Go Link")</f>
        <v>12Go Link</v>
      </c>
      <c r="E1215" s="2" t="s">
        <v>77</v>
      </c>
    </row>
    <row r="1216">
      <c r="A1216" s="2" t="s">
        <v>733</v>
      </c>
      <c r="B1216" s="2" t="s">
        <v>1608</v>
      </c>
      <c r="C1216" s="2" t="s">
        <v>1610</v>
      </c>
      <c r="D1216" s="3" t="str">
        <f>HYPERLINK("https://12go.asia/en/travel/qingzhen/nanming", "12Go Link")</f>
        <v>12Go Link</v>
      </c>
      <c r="E1216" s="2" t="s">
        <v>77</v>
      </c>
    </row>
    <row r="1217">
      <c r="A1217" s="2" t="s">
        <v>733</v>
      </c>
      <c r="B1217" s="2" t="s">
        <v>514</v>
      </c>
      <c r="C1217" s="2" t="s">
        <v>1611</v>
      </c>
      <c r="D1217" s="3" t="str">
        <f>HYPERLINK("https://12go.asia/en/travel/guian/qujing-north", "12Go Link")</f>
        <v>12Go Link</v>
      </c>
      <c r="E1217" s="2" t="s">
        <v>77</v>
      </c>
    </row>
    <row r="1218">
      <c r="A1218" s="2" t="s">
        <v>733</v>
      </c>
      <c r="B1218" s="2" t="s">
        <v>514</v>
      </c>
      <c r="C1218" s="2" t="s">
        <v>1612</v>
      </c>
      <c r="D1218" s="3" t="str">
        <f>HYPERLINK("https://12go.asia/en/travel/qingzhen/qujing", "12Go Link")</f>
        <v>12Go Link</v>
      </c>
      <c r="E1218" s="2" t="s">
        <v>77</v>
      </c>
    </row>
    <row r="1219">
      <c r="A1219" s="2" t="s">
        <v>733</v>
      </c>
      <c r="B1219" s="2" t="s">
        <v>459</v>
      </c>
      <c r="C1219" s="2" t="s">
        <v>1613</v>
      </c>
      <c r="D1219" s="3" t="str">
        <f>HYPERLINK("https://12go.asia/en/travel/guian/shanghai-hongqiao", "12Go Link")</f>
        <v>12Go Link</v>
      </c>
      <c r="E1219" s="2" t="s">
        <v>77</v>
      </c>
    </row>
    <row r="1220">
      <c r="A1220" s="2" t="s">
        <v>733</v>
      </c>
      <c r="B1220" s="2" t="s">
        <v>459</v>
      </c>
      <c r="C1220" s="2" t="s">
        <v>1614</v>
      </c>
      <c r="D1220" s="3" t="str">
        <f>HYPERLINK("https://12go.asia/en/travel/qingzhen/shanghai", "12Go Link")</f>
        <v>12Go Link</v>
      </c>
      <c r="E1220" s="2" t="s">
        <v>77</v>
      </c>
    </row>
    <row r="1221">
      <c r="A1221" s="2" t="s">
        <v>733</v>
      </c>
      <c r="B1221" s="2" t="s">
        <v>461</v>
      </c>
      <c r="C1221" s="2" t="s">
        <v>1615</v>
      </c>
      <c r="D1221" s="3" t="str">
        <f>HYPERLINK("https://12go.asia/en/travel/qingzhen/shanghai-hongqiao-airport", "12Go Link")</f>
        <v>12Go Link</v>
      </c>
      <c r="E1221" s="2" t="s">
        <v>77</v>
      </c>
    </row>
    <row r="1222">
      <c r="A1222" s="2" t="s">
        <v>733</v>
      </c>
      <c r="B1222" s="2" t="s">
        <v>780</v>
      </c>
      <c r="C1222" s="2" t="s">
        <v>1616</v>
      </c>
      <c r="D1222" s="3" t="str">
        <f>HYPERLINK("https://12go.asia/en/travel/guian/shangrao", "12Go Link")</f>
        <v>12Go Link</v>
      </c>
      <c r="E1222" s="2" t="s">
        <v>77</v>
      </c>
    </row>
    <row r="1223">
      <c r="A1223" s="2" t="s">
        <v>733</v>
      </c>
      <c r="B1223" s="2" t="s">
        <v>780</v>
      </c>
      <c r="C1223" s="2" t="s">
        <v>1617</v>
      </c>
      <c r="D1223" s="3" t="str">
        <f>HYPERLINK("https://12go.asia/en/travel/qingzhen/shangrao", "12Go Link")</f>
        <v>12Go Link</v>
      </c>
      <c r="E1223" s="2" t="s">
        <v>77</v>
      </c>
    </row>
    <row r="1224">
      <c r="A1224" s="2" t="s">
        <v>733</v>
      </c>
      <c r="B1224" s="2" t="s">
        <v>418</v>
      </c>
      <c r="C1224" s="2" t="s">
        <v>1618</v>
      </c>
      <c r="D1224" s="3" t="str">
        <f>HYPERLINK("https://12go.asia/en/travel/guian/shijiazhuang", "12Go Link")</f>
        <v>12Go Link</v>
      </c>
      <c r="E1224" s="2" t="s">
        <v>77</v>
      </c>
    </row>
    <row r="1225">
      <c r="A1225" s="2" t="s">
        <v>733</v>
      </c>
      <c r="B1225" s="2" t="s">
        <v>418</v>
      </c>
      <c r="C1225" s="2" t="s">
        <v>1619</v>
      </c>
      <c r="D1225" s="3" t="str">
        <f>HYPERLINK("https://12go.asia/en/travel/qingzhen/shijiazhuang", "12Go Link")</f>
        <v>12Go Link</v>
      </c>
      <c r="E1225" s="2" t="s">
        <v>77</v>
      </c>
    </row>
    <row r="1226">
      <c r="A1226" s="2" t="s">
        <v>733</v>
      </c>
      <c r="B1226" s="2" t="s">
        <v>1620</v>
      </c>
      <c r="C1226" s="2" t="s">
        <v>1621</v>
      </c>
      <c r="D1226" s="3" t="str">
        <f>HYPERLINK("https://12go.asia/en/travel/guian/jinyang", "12Go Link")</f>
        <v>12Go Link</v>
      </c>
      <c r="E1226" s="2" t="s">
        <v>77</v>
      </c>
    </row>
    <row r="1227">
      <c r="A1227" s="2" t="s">
        <v>733</v>
      </c>
      <c r="B1227" s="2" t="s">
        <v>1620</v>
      </c>
      <c r="C1227" s="2" t="s">
        <v>1622</v>
      </c>
      <c r="D1227" s="3" t="str">
        <f>HYPERLINK("https://12go.asia/en/travel/qingzhen/taiyuan", "12Go Link")</f>
        <v>12Go Link</v>
      </c>
      <c r="E1227" s="2" t="s">
        <v>77</v>
      </c>
    </row>
    <row r="1228">
      <c r="A1228" s="2" t="s">
        <v>733</v>
      </c>
      <c r="B1228" s="2" t="s">
        <v>662</v>
      </c>
      <c r="C1228" s="2" t="s">
        <v>1623</v>
      </c>
      <c r="D1228" s="3" t="str">
        <f>HYPERLINK("https://12go.asia/en/travel/qingzhen/tianxin", "12Go Link")</f>
        <v>12Go Link</v>
      </c>
      <c r="E1228" s="2" t="s">
        <v>77</v>
      </c>
    </row>
    <row r="1229">
      <c r="A1229" s="2" t="s">
        <v>733</v>
      </c>
      <c r="B1229" s="2" t="s">
        <v>1624</v>
      </c>
      <c r="C1229" s="2" t="s">
        <v>1625</v>
      </c>
      <c r="D1229" s="3" t="str">
        <f>HYPERLINK("https://12go.asia/en/travel/guian/tongren", "12Go Link")</f>
        <v>12Go Link</v>
      </c>
      <c r="E1229" s="2" t="s">
        <v>77</v>
      </c>
    </row>
    <row r="1230">
      <c r="A1230" s="2" t="s">
        <v>733</v>
      </c>
      <c r="B1230" s="2" t="s">
        <v>1624</v>
      </c>
      <c r="C1230" s="2" t="s">
        <v>1626</v>
      </c>
      <c r="D1230" s="3" t="str">
        <f>HYPERLINK("https://12go.asia/en/travel/qingzhen/tongren", "12Go Link")</f>
        <v>12Go Link</v>
      </c>
      <c r="E1230" s="2" t="s">
        <v>77</v>
      </c>
    </row>
    <row r="1231">
      <c r="A1231" s="2" t="s">
        <v>733</v>
      </c>
      <c r="B1231" s="2" t="s">
        <v>471</v>
      </c>
      <c r="C1231" s="2" t="s">
        <v>1627</v>
      </c>
      <c r="D1231" s="3" t="str">
        <f>HYPERLINK("https://12go.asia/en/travel/qingzhen/xihu", "12Go Link")</f>
        <v>12Go Link</v>
      </c>
      <c r="E1231" s="2" t="s">
        <v>77</v>
      </c>
    </row>
    <row r="1232">
      <c r="A1232" s="2" t="s">
        <v>733</v>
      </c>
      <c r="B1232" s="2" t="s">
        <v>429</v>
      </c>
      <c r="C1232" s="2" t="s">
        <v>1628</v>
      </c>
      <c r="D1232" s="3" t="str">
        <f>HYPERLINK("https://12go.asia/en/travel/guian/luowansanjiang", "12Go Link")</f>
        <v>12Go Link</v>
      </c>
      <c r="E1232" s="2" t="s">
        <v>77</v>
      </c>
    </row>
    <row r="1233">
      <c r="A1233" s="2" t="s">
        <v>733</v>
      </c>
      <c r="B1233" s="2" t="s">
        <v>429</v>
      </c>
      <c r="C1233" s="2" t="s">
        <v>1629</v>
      </c>
      <c r="D1233" s="3" t="str">
        <f>HYPERLINK("https://12go.asia/en/travel/qingzhen/xishui", "12Go Link")</f>
        <v>12Go Link</v>
      </c>
      <c r="E1233" s="2" t="s">
        <v>77</v>
      </c>
    </row>
    <row r="1234">
      <c r="A1234" s="2" t="s">
        <v>733</v>
      </c>
      <c r="B1234" s="2" t="s">
        <v>1630</v>
      </c>
      <c r="C1234" s="2" t="s">
        <v>1631</v>
      </c>
      <c r="D1234" s="3" t="str">
        <f>HYPERLINK("https://12go.asia/en/travel/qingzhen/yunnan", "12Go Link")</f>
        <v>12Go Link</v>
      </c>
      <c r="E1234" s="2" t="s">
        <v>77</v>
      </c>
    </row>
    <row r="1235">
      <c r="A1235" s="2" t="s">
        <v>733</v>
      </c>
      <c r="B1235" s="2" t="s">
        <v>474</v>
      </c>
      <c r="C1235" s="2" t="s">
        <v>1632</v>
      </c>
      <c r="D1235" s="3" t="str">
        <f>HYPERLINK("https://12go.asia/en/travel/qingzhen/zhejiang", "12Go Link")</f>
        <v>12Go Link</v>
      </c>
      <c r="E1235" s="2" t="s">
        <v>77</v>
      </c>
    </row>
    <row r="1236">
      <c r="A1236" s="2" t="s">
        <v>675</v>
      </c>
      <c r="B1236" s="2" t="s">
        <v>461</v>
      </c>
      <c r="C1236" s="2" t="s">
        <v>1633</v>
      </c>
      <c r="D1236" s="3" t="str">
        <f>HYPERLINK("https://12go.asia/en/travel/qinhuangdao/shanghai-hongqiao-airport", "12Go Link")</f>
        <v>12Go Link</v>
      </c>
      <c r="E1236" s="2" t="s">
        <v>77</v>
      </c>
    </row>
    <row r="1237">
      <c r="A1237" s="2" t="s">
        <v>678</v>
      </c>
      <c r="B1237" s="2" t="s">
        <v>439</v>
      </c>
      <c r="C1237" s="2" t="s">
        <v>1634</v>
      </c>
      <c r="D1237" s="3" t="str">
        <f>HYPERLINK("https://12go.asia/en/travel/qiqihar-south/binhai-north", "12Go Link")</f>
        <v>12Go Link</v>
      </c>
      <c r="E1237" s="2" t="s">
        <v>77</v>
      </c>
    </row>
    <row r="1238">
      <c r="A1238" s="2" t="s">
        <v>678</v>
      </c>
      <c r="B1238" s="2" t="s">
        <v>439</v>
      </c>
      <c r="C1238" s="2" t="s">
        <v>1635</v>
      </c>
      <c r="D1238" s="3" t="str">
        <f>HYPERLINK("https://12go.asia/en/travel/qiqihar-south/binhai-west", "12Go Link")</f>
        <v>12Go Link</v>
      </c>
      <c r="E1238" s="2" t="s">
        <v>77</v>
      </c>
    </row>
    <row r="1239">
      <c r="A1239" s="2" t="s">
        <v>678</v>
      </c>
      <c r="B1239" s="2" t="s">
        <v>439</v>
      </c>
      <c r="C1239" s="2" t="s">
        <v>1636</v>
      </c>
      <c r="D1239" s="3" t="str">
        <f>HYPERLINK("https://12go.asia/en/travel/qiqihar/binhai", "12Go Link")</f>
        <v>12Go Link</v>
      </c>
      <c r="E1239" s="2" t="s">
        <v>77</v>
      </c>
    </row>
    <row r="1240">
      <c r="A1240" s="2" t="s">
        <v>678</v>
      </c>
      <c r="B1240" s="2" t="s">
        <v>671</v>
      </c>
      <c r="C1240" s="2" t="s">
        <v>1637</v>
      </c>
      <c r="D1240" s="3" t="str">
        <f>HYPERLINK("https://12go.asia/en/travel/qiqihar-south/daqing-east", "12Go Link")</f>
        <v>12Go Link</v>
      </c>
      <c r="E1240" s="2" t="s">
        <v>77</v>
      </c>
    </row>
    <row r="1241">
      <c r="A1241" s="2" t="s">
        <v>678</v>
      </c>
      <c r="B1241" s="2" t="s">
        <v>671</v>
      </c>
      <c r="C1241" s="2" t="s">
        <v>1638</v>
      </c>
      <c r="D1241" s="3" t="str">
        <f>HYPERLINK("https://12go.asia/en/travel/qiqihar/daqing", "12Go Link")</f>
        <v>12Go Link</v>
      </c>
      <c r="E1241" s="2" t="s">
        <v>77</v>
      </c>
    </row>
    <row r="1242">
      <c r="A1242" s="2" t="s">
        <v>678</v>
      </c>
      <c r="B1242" s="2" t="s">
        <v>671</v>
      </c>
      <c r="C1242" s="2" t="s">
        <v>1639</v>
      </c>
      <c r="D1242" s="3" t="str">
        <f>HYPERLINK("https://12go.asia/en/travel/qiqihar/daqing-east", "12Go Link")</f>
        <v>12Go Link</v>
      </c>
      <c r="E1242" s="2" t="s">
        <v>77</v>
      </c>
    </row>
    <row r="1243">
      <c r="A1243" s="2" t="s">
        <v>678</v>
      </c>
      <c r="B1243" s="2" t="s">
        <v>1640</v>
      </c>
      <c r="C1243" s="2" t="s">
        <v>1641</v>
      </c>
      <c r="D1243" s="3" t="str">
        <f>HYPERLINK("https://12go.asia/en/travel/qiqihar/huadu", "12Go Link")</f>
        <v>12Go Link</v>
      </c>
      <c r="E1243" s="2" t="s">
        <v>77</v>
      </c>
    </row>
    <row r="1244">
      <c r="A1244" s="2" t="s">
        <v>678</v>
      </c>
      <c r="B1244" s="2" t="s">
        <v>672</v>
      </c>
      <c r="C1244" s="2" t="s">
        <v>1642</v>
      </c>
      <c r="D1244" s="3" t="str">
        <f>HYPERLINK("https://12go.asia/en/travel/qiqihar-south/jiamusi", "12Go Link")</f>
        <v>12Go Link</v>
      </c>
      <c r="E1244" s="2" t="s">
        <v>77</v>
      </c>
    </row>
    <row r="1245">
      <c r="A1245" s="2" t="s">
        <v>678</v>
      </c>
      <c r="B1245" s="2" t="s">
        <v>672</v>
      </c>
      <c r="C1245" s="2" t="s">
        <v>1643</v>
      </c>
      <c r="D1245" s="3" t="str">
        <f>HYPERLINK("https://12go.asia/en/travel/qiqihar/jiamusi", "12Go Link")</f>
        <v>12Go Link</v>
      </c>
      <c r="E1245" s="2" t="s">
        <v>77</v>
      </c>
    </row>
    <row r="1246">
      <c r="A1246" s="2" t="s">
        <v>678</v>
      </c>
      <c r="B1246" s="2" t="s">
        <v>1644</v>
      </c>
      <c r="C1246" s="2" t="s">
        <v>1645</v>
      </c>
      <c r="D1246" s="3" t="str">
        <f>HYPERLINK("https://12go.asia/en/travel/qiqihar-south/mudanjiang", "12Go Link")</f>
        <v>12Go Link</v>
      </c>
      <c r="E1246" s="2" t="s">
        <v>77</v>
      </c>
    </row>
    <row r="1247">
      <c r="A1247" s="2" t="s">
        <v>678</v>
      </c>
      <c r="B1247" s="2" t="s">
        <v>1644</v>
      </c>
      <c r="C1247" s="2" t="s">
        <v>1646</v>
      </c>
      <c r="D1247" s="3" t="str">
        <f>HYPERLINK("https://12go.asia/en/travel/qiqihar/mudanjiang", "12Go Link")</f>
        <v>12Go Link</v>
      </c>
      <c r="E1247" s="2" t="s">
        <v>77</v>
      </c>
    </row>
    <row r="1248">
      <c r="A1248" s="2" t="s">
        <v>678</v>
      </c>
      <c r="B1248" s="2" t="s">
        <v>1647</v>
      </c>
      <c r="C1248" s="2" t="s">
        <v>1648</v>
      </c>
      <c r="D1248" s="3" t="str">
        <f>HYPERLINK("https://12go.asia/en/travel/qiqihar/orongen-zizhiqi", "12Go Link")</f>
        <v>12Go Link</v>
      </c>
      <c r="E1248" s="2" t="s">
        <v>77</v>
      </c>
    </row>
    <row r="1249">
      <c r="A1249" s="2" t="s">
        <v>678</v>
      </c>
      <c r="B1249" s="2" t="s">
        <v>782</v>
      </c>
      <c r="C1249" s="2" t="s">
        <v>1649</v>
      </c>
      <c r="D1249" s="3" t="str">
        <f>HYPERLINK("https://12go.asia/en/travel/qiqihar/shenzhen", "12Go Link")</f>
        <v>12Go Link</v>
      </c>
      <c r="E1249" s="2" t="s">
        <v>77</v>
      </c>
    </row>
    <row r="1250">
      <c r="A1250" s="2" t="s">
        <v>678</v>
      </c>
      <c r="B1250" s="2" t="s">
        <v>782</v>
      </c>
      <c r="C1250" s="2" t="s">
        <v>1650</v>
      </c>
      <c r="D1250" s="3" t="str">
        <f>HYPERLINK("https://12go.asia/en/travel/qiqihar/shenzhen-east", "12Go Link")</f>
        <v>12Go Link</v>
      </c>
      <c r="E1250" s="2" t="s">
        <v>77</v>
      </c>
    </row>
    <row r="1251">
      <c r="A1251" s="2" t="s">
        <v>678</v>
      </c>
      <c r="B1251" s="2" t="s">
        <v>654</v>
      </c>
      <c r="C1251" s="2" t="s">
        <v>1651</v>
      </c>
      <c r="D1251" s="3" t="str">
        <f>HYPERLINK("https://12go.asia/en/travel/qiqihar/songyuan", "12Go Link")</f>
        <v>12Go Link</v>
      </c>
      <c r="E1251" s="2" t="s">
        <v>77</v>
      </c>
    </row>
    <row r="1252">
      <c r="A1252" s="2" t="s">
        <v>678</v>
      </c>
      <c r="B1252" s="2" t="s">
        <v>656</v>
      </c>
      <c r="C1252" s="2" t="s">
        <v>1652</v>
      </c>
      <c r="D1252" s="3" t="str">
        <f>HYPERLINK("https://12go.asia/en/travel/qiqihar/suihua", "12Go Link")</f>
        <v>12Go Link</v>
      </c>
      <c r="E1252" s="2" t="s">
        <v>77</v>
      </c>
    </row>
    <row r="1253">
      <c r="A1253" s="2" t="s">
        <v>678</v>
      </c>
      <c r="B1253" s="2" t="s">
        <v>471</v>
      </c>
      <c r="C1253" s="2" t="s">
        <v>1653</v>
      </c>
      <c r="D1253" s="3" t="str">
        <f>HYPERLINK("https://12go.asia/en/travel/qiqihar/xihu", "12Go Link")</f>
        <v>12Go Link</v>
      </c>
      <c r="E1253" s="2" t="s">
        <v>77</v>
      </c>
    </row>
    <row r="1254">
      <c r="A1254" s="2" t="s">
        <v>678</v>
      </c>
      <c r="B1254" s="2" t="s">
        <v>378</v>
      </c>
      <c r="C1254" s="2" t="s">
        <v>1654</v>
      </c>
      <c r="D1254" s="3" t="str">
        <f>HYPERLINK("https://12go.asia/en/travel/qiqihar/xunxian", "12Go Link")</f>
        <v>12Go Link</v>
      </c>
      <c r="E1254" s="2" t="s">
        <v>77</v>
      </c>
    </row>
    <row r="1255">
      <c r="A1255" s="2" t="s">
        <v>716</v>
      </c>
      <c r="B1255" s="2" t="s">
        <v>557</v>
      </c>
      <c r="C1255" s="2" t="s">
        <v>1655</v>
      </c>
      <c r="D1255" s="3" t="str">
        <f>HYPERLINK("https://12go.asia/en/travel/quanzhou/boluo", "12Go Link")</f>
        <v>12Go Link</v>
      </c>
      <c r="E1255" s="2" t="s">
        <v>77</v>
      </c>
    </row>
    <row r="1256">
      <c r="A1256" s="2" t="s">
        <v>716</v>
      </c>
      <c r="B1256" s="2" t="s">
        <v>392</v>
      </c>
      <c r="C1256" s="2" t="s">
        <v>1656</v>
      </c>
      <c r="D1256" s="3" t="str">
        <f>HYPERLINK("https://12go.asia/en/travel/quanzhou/changzhou", "12Go Link")</f>
        <v>12Go Link</v>
      </c>
      <c r="E1256" s="2" t="s">
        <v>77</v>
      </c>
    </row>
    <row r="1257">
      <c r="A1257" s="2" t="s">
        <v>716</v>
      </c>
      <c r="B1257" s="2" t="s">
        <v>688</v>
      </c>
      <c r="C1257" s="2" t="s">
        <v>1657</v>
      </c>
      <c r="D1257" s="3" t="str">
        <f>HYPERLINK("https://12go.asia/en/travel/quanzhou/dongcheng-south", "12Go Link")</f>
        <v>12Go Link</v>
      </c>
      <c r="E1257" s="2" t="s">
        <v>77</v>
      </c>
    </row>
    <row r="1258">
      <c r="A1258" s="2" t="s">
        <v>716</v>
      </c>
      <c r="B1258" s="2" t="s">
        <v>608</v>
      </c>
      <c r="C1258" s="2" t="s">
        <v>1658</v>
      </c>
      <c r="D1258" s="3" t="str">
        <f>HYPERLINK("https://12go.asia/en/travel/quanzhou/dongguan", "12Go Link")</f>
        <v>12Go Link</v>
      </c>
      <c r="E1258" s="2" t="s">
        <v>77</v>
      </c>
    </row>
    <row r="1259">
      <c r="A1259" s="2" t="s">
        <v>716</v>
      </c>
      <c r="B1259" s="2" t="s">
        <v>746</v>
      </c>
      <c r="C1259" s="2" t="s">
        <v>1659</v>
      </c>
      <c r="D1259" s="3" t="str">
        <f>HYPERLINK("https://12go.asia/en/travel/quanzhou/hangzhou-west", "12Go Link")</f>
        <v>12Go Link</v>
      </c>
      <c r="E1259" s="2" t="s">
        <v>77</v>
      </c>
    </row>
    <row r="1260">
      <c r="A1260" s="2" t="s">
        <v>716</v>
      </c>
      <c r="B1260" s="2" t="s">
        <v>759</v>
      </c>
      <c r="C1260" s="2" t="s">
        <v>1660</v>
      </c>
      <c r="D1260" s="3" t="str">
        <f>HYPERLINK("https://12go.asia/en/travel/quanzhou/jiangxi", "12Go Link")</f>
        <v>12Go Link</v>
      </c>
      <c r="E1260" s="2" t="s">
        <v>77</v>
      </c>
    </row>
    <row r="1261">
      <c r="A1261" s="2" t="s">
        <v>716</v>
      </c>
      <c r="B1261" s="2" t="s">
        <v>621</v>
      </c>
      <c r="C1261" s="2" t="s">
        <v>1661</v>
      </c>
      <c r="D1261" s="3" t="str">
        <f>HYPERLINK("https://12go.asia/en/travel/quanzhou/jiaxiang", "12Go Link")</f>
        <v>12Go Link</v>
      </c>
      <c r="E1261" s="2" t="s">
        <v>77</v>
      </c>
    </row>
    <row r="1262">
      <c r="A1262" s="2" t="s">
        <v>716</v>
      </c>
      <c r="B1262" s="2" t="s">
        <v>454</v>
      </c>
      <c r="C1262" s="2" t="s">
        <v>1662</v>
      </c>
      <c r="D1262" s="3" t="str">
        <f>HYPERLINK("https://12go.asia/en/travel/quanzhou/nanjing-south", "12Go Link")</f>
        <v>12Go Link</v>
      </c>
      <c r="E1262" s="2" t="s">
        <v>77</v>
      </c>
    </row>
    <row r="1263">
      <c r="A1263" s="2" t="s">
        <v>716</v>
      </c>
      <c r="B1263" s="2" t="s">
        <v>420</v>
      </c>
      <c r="C1263" s="2" t="s">
        <v>1663</v>
      </c>
      <c r="D1263" s="3" t="str">
        <f>HYPERLINK("https://12go.asia/en/travel/quanzhou/shanghai-songjiang", "12Go Link")</f>
        <v>12Go Link</v>
      </c>
      <c r="E1263" s="2" t="s">
        <v>77</v>
      </c>
    </row>
    <row r="1264">
      <c r="A1264" s="2" t="s">
        <v>716</v>
      </c>
      <c r="B1264" s="2" t="s">
        <v>420</v>
      </c>
      <c r="C1264" s="2" t="s">
        <v>1664</v>
      </c>
      <c r="D1264" s="3" t="str">
        <f>HYPERLINK("https://12go.asia/en/travel/quanzhou/songjiang-shanghai", "12Go Link")</f>
        <v>12Go Link</v>
      </c>
      <c r="E1264" s="2" t="s">
        <v>77</v>
      </c>
    </row>
    <row r="1265">
      <c r="A1265" s="2" t="s">
        <v>716</v>
      </c>
      <c r="B1265" s="2" t="s">
        <v>571</v>
      </c>
      <c r="C1265" s="2" t="s">
        <v>1665</v>
      </c>
      <c r="D1265" s="3" t="str">
        <f>HYPERLINK("https://12go.asia/en/travel/quanzhou/wuxi", "12Go Link")</f>
        <v>12Go Link</v>
      </c>
      <c r="E1265" s="2" t="s">
        <v>77</v>
      </c>
    </row>
    <row r="1266">
      <c r="A1266" s="2" t="s">
        <v>716</v>
      </c>
      <c r="B1266" s="2" t="s">
        <v>571</v>
      </c>
      <c r="C1266" s="2" t="s">
        <v>1666</v>
      </c>
      <c r="D1266" s="3" t="str">
        <f>HYPERLINK("https://12go.asia/en/travel/quanzhou/wuxi-jiangsu", "12Go Link")</f>
        <v>12Go Link</v>
      </c>
      <c r="E1266" s="2" t="s">
        <v>77</v>
      </c>
    </row>
    <row r="1267">
      <c r="A1267" s="2" t="s">
        <v>716</v>
      </c>
      <c r="B1267" s="2" t="s">
        <v>471</v>
      </c>
      <c r="C1267" s="2" t="s">
        <v>1667</v>
      </c>
      <c r="D1267" s="3" t="str">
        <f>HYPERLINK("https://12go.asia/en/travel/quanzhou/xihu", "12Go Link")</f>
        <v>12Go Link</v>
      </c>
      <c r="E1267" s="2" t="s">
        <v>77</v>
      </c>
    </row>
    <row r="1268">
      <c r="A1268" s="2" t="s">
        <v>716</v>
      </c>
      <c r="B1268" s="2" t="s">
        <v>1271</v>
      </c>
      <c r="C1268" s="2" t="s">
        <v>1668</v>
      </c>
      <c r="D1268" s="3" t="str">
        <f>HYPERLINK("https://12go.asia/en/travel/quanzhou/kowloon", "12Go Link")</f>
        <v>12Go Link</v>
      </c>
      <c r="E1268" s="2" t="s">
        <v>77</v>
      </c>
    </row>
    <row r="1269">
      <c r="A1269" s="2" t="s">
        <v>514</v>
      </c>
      <c r="B1269" s="2" t="s">
        <v>578</v>
      </c>
      <c r="C1269" s="2" t="s">
        <v>1669</v>
      </c>
      <c r="D1269" s="3" t="str">
        <f>HYPERLINK("https://12go.asia/en/travel/qujing-north/changsha-south", "12Go Link")</f>
        <v>12Go Link</v>
      </c>
      <c r="E1269" s="2" t="s">
        <v>77</v>
      </c>
    </row>
    <row r="1270">
      <c r="A1270" s="2" t="s">
        <v>514</v>
      </c>
      <c r="B1270" s="2" t="s">
        <v>578</v>
      </c>
      <c r="C1270" s="2" t="s">
        <v>1670</v>
      </c>
      <c r="D1270" s="3" t="str">
        <f>HYPERLINK("https://12go.asia/en/travel/qujing/changsha", "12Go Link")</f>
        <v>12Go Link</v>
      </c>
      <c r="E1270" s="2" t="s">
        <v>77</v>
      </c>
    </row>
    <row r="1271">
      <c r="A1271" s="2" t="s">
        <v>1143</v>
      </c>
      <c r="B1271" s="2" t="s">
        <v>1671</v>
      </c>
      <c r="C1271" s="2" t="s">
        <v>1672</v>
      </c>
      <c r="D1271" s="3" t="str">
        <f>HYPERLINK("https://12go.asia/en/travel/panzhihua-south/lijiang", "12Go Link")</f>
        <v>12Go Link</v>
      </c>
      <c r="E1271" s="2" t="s">
        <v>77</v>
      </c>
    </row>
    <row r="1272">
      <c r="A1272" s="2" t="s">
        <v>1143</v>
      </c>
      <c r="B1272" s="2" t="s">
        <v>1671</v>
      </c>
      <c r="C1272" s="2" t="s">
        <v>1673</v>
      </c>
      <c r="D1272" s="3" t="str">
        <f>HYPERLINK("https://12go.asia/en/travel/renhe/lijiang", "12Go Link")</f>
        <v>12Go Link</v>
      </c>
      <c r="E1272" s="2" t="s">
        <v>77</v>
      </c>
    </row>
    <row r="1273">
      <c r="A1273" s="2" t="s">
        <v>1143</v>
      </c>
      <c r="B1273" s="2" t="s">
        <v>1674</v>
      </c>
      <c r="C1273" s="2" t="s">
        <v>1675</v>
      </c>
      <c r="D1273" s="3" t="str">
        <f>HYPERLINK("https://12go.asia/en/travel/panzhihua-south/nanchong", "12Go Link")</f>
        <v>12Go Link</v>
      </c>
      <c r="E1273" s="2" t="s">
        <v>77</v>
      </c>
    </row>
    <row r="1274">
      <c r="A1274" s="2" t="s">
        <v>1143</v>
      </c>
      <c r="B1274" s="2" t="s">
        <v>1674</v>
      </c>
      <c r="C1274" s="2" t="s">
        <v>1676</v>
      </c>
      <c r="D1274" s="3" t="str">
        <f>HYPERLINK("https://12go.asia/en/travel/renhe/nanchong", "12Go Link")</f>
        <v>12Go Link</v>
      </c>
      <c r="E1274" s="2" t="s">
        <v>77</v>
      </c>
    </row>
    <row r="1275">
      <c r="A1275" s="2" t="s">
        <v>1677</v>
      </c>
      <c r="B1275" s="2" t="s">
        <v>459</v>
      </c>
      <c r="C1275" s="2" t="s">
        <v>1678</v>
      </c>
      <c r="D1275" s="3" t="str">
        <f>HYPERLINK("https://12go.asia/en/travel/rizhao-west/shanghai-south", "12Go Link")</f>
        <v>12Go Link</v>
      </c>
      <c r="E1275" s="2" t="s">
        <v>77</v>
      </c>
    </row>
    <row r="1276">
      <c r="A1276" s="2" t="s">
        <v>1679</v>
      </c>
      <c r="B1276" s="2" t="s">
        <v>807</v>
      </c>
      <c r="C1276" s="2" t="s">
        <v>1680</v>
      </c>
      <c r="D1276" s="3" t="str">
        <f>HYPERLINK("https://12go.asia/en/travel/qufu-east/jinan-east", "12Go Link")</f>
        <v>12Go Link</v>
      </c>
      <c r="E1276" s="2" t="s">
        <v>77</v>
      </c>
    </row>
    <row r="1277">
      <c r="A1277" s="2" t="s">
        <v>459</v>
      </c>
      <c r="B1277" s="2" t="s">
        <v>380</v>
      </c>
      <c r="C1277" s="2" t="s">
        <v>1681</v>
      </c>
      <c r="D1277" s="3" t="str">
        <f>HYPERLINK("https://12go.asia/en/travel/shanghai-south/feixi", "12Go Link")</f>
        <v>12Go Link</v>
      </c>
      <c r="E1277" s="2" t="s">
        <v>77</v>
      </c>
    </row>
    <row r="1278">
      <c r="A1278" s="2" t="s">
        <v>459</v>
      </c>
      <c r="B1278" s="2" t="s">
        <v>380</v>
      </c>
      <c r="C1278" s="2" t="s">
        <v>1682</v>
      </c>
      <c r="D1278" s="3" t="str">
        <f>HYPERLINK("https://12go.asia/en/travel/shanghai-south/maanshan-east", "12Go Link")</f>
        <v>12Go Link</v>
      </c>
      <c r="E1278" s="2" t="s">
        <v>77</v>
      </c>
    </row>
    <row r="1279">
      <c r="A1279" s="2" t="s">
        <v>459</v>
      </c>
      <c r="B1279" s="2" t="s">
        <v>380</v>
      </c>
      <c r="C1279" s="2" t="s">
        <v>1683</v>
      </c>
      <c r="D1279" s="3" t="str">
        <f>HYPERLINK("https://12go.asia/en/travel/shanghai-south/xuancheng", "12Go Link")</f>
        <v>12Go Link</v>
      </c>
      <c r="E1279" s="2" t="s">
        <v>77</v>
      </c>
    </row>
    <row r="1280">
      <c r="A1280" s="2" t="s">
        <v>459</v>
      </c>
      <c r="B1280" s="2" t="s">
        <v>392</v>
      </c>
      <c r="C1280" s="2" t="s">
        <v>1684</v>
      </c>
      <c r="D1280" s="3" t="str">
        <f>HYPERLINK("https://12go.asia/en/travel/shanghai-south/wujin", "12Go Link")</f>
        <v>12Go Link</v>
      </c>
      <c r="E1280" s="2" t="s">
        <v>77</v>
      </c>
    </row>
    <row r="1281">
      <c r="A1281" s="2" t="s">
        <v>459</v>
      </c>
      <c r="B1281" s="2" t="s">
        <v>710</v>
      </c>
      <c r="C1281" s="2" t="s">
        <v>1685</v>
      </c>
      <c r="D1281" s="3" t="str">
        <f>HYPERLINK("https://12go.asia/en/travel/shanghai-south/fuding", "12Go Link")</f>
        <v>12Go Link</v>
      </c>
      <c r="E1281" s="2" t="s">
        <v>77</v>
      </c>
    </row>
    <row r="1282">
      <c r="A1282" s="2" t="s">
        <v>459</v>
      </c>
      <c r="B1282" s="2" t="s">
        <v>854</v>
      </c>
      <c r="C1282" s="2" t="s">
        <v>1686</v>
      </c>
      <c r="D1282" s="3" t="str">
        <f>HYPERLINK("https://12go.asia/en/travel/shanghai-south/fuyang-west", "12Go Link")</f>
        <v>12Go Link</v>
      </c>
      <c r="E1282" s="2" t="s">
        <v>77</v>
      </c>
    </row>
    <row r="1283">
      <c r="A1283" s="2" t="s">
        <v>459</v>
      </c>
      <c r="B1283" s="2" t="s">
        <v>742</v>
      </c>
      <c r="C1283" s="2" t="s">
        <v>1687</v>
      </c>
      <c r="D1283" s="3" t="str">
        <f>HYPERLINK("https://12go.asia/en/travel/shanghai-south/fuzhou-south", "12Go Link")</f>
        <v>12Go Link</v>
      </c>
      <c r="E1283" s="2" t="s">
        <v>77</v>
      </c>
    </row>
    <row r="1284">
      <c r="A1284" s="2" t="s">
        <v>459</v>
      </c>
      <c r="B1284" s="2" t="s">
        <v>742</v>
      </c>
      <c r="C1284" s="2" t="s">
        <v>1688</v>
      </c>
      <c r="D1284" s="3" t="str">
        <f>HYPERLINK("https://12go.asia/en/travel/shanghai-south/minqing-north", "12Go Link")</f>
        <v>12Go Link</v>
      </c>
      <c r="E1284" s="2" t="s">
        <v>77</v>
      </c>
    </row>
    <row r="1285">
      <c r="A1285" s="2" t="s">
        <v>459</v>
      </c>
      <c r="B1285" s="2" t="s">
        <v>713</v>
      </c>
      <c r="C1285" s="2" t="s">
        <v>1689</v>
      </c>
      <c r="D1285" s="3" t="str">
        <f>HYPERLINK("https://12go.asia/en/travel/shanghai-hongqiao/guangzhou-east", "12Go Link")</f>
        <v>12Go Link</v>
      </c>
      <c r="E1285" s="2" t="s">
        <v>77</v>
      </c>
    </row>
    <row r="1286">
      <c r="A1286" s="2" t="s">
        <v>459</v>
      </c>
      <c r="B1286" s="2" t="s">
        <v>713</v>
      </c>
      <c r="C1286" s="2" t="s">
        <v>1690</v>
      </c>
      <c r="D1286" s="3" t="str">
        <f>HYPERLINK("https://12go.asia/en/travel/shanghai-south/guangzhou-east", "12Go Link")</f>
        <v>12Go Link</v>
      </c>
      <c r="E1286" s="2" t="s">
        <v>77</v>
      </c>
    </row>
    <row r="1287">
      <c r="A1287" s="2" t="s">
        <v>459</v>
      </c>
      <c r="B1287" s="2" t="s">
        <v>836</v>
      </c>
      <c r="C1287" s="2" t="s">
        <v>1691</v>
      </c>
      <c r="D1287" s="3" t="str">
        <f>HYPERLINK("https://12go.asia/en/travel/shanghai-south/guiyang-north", "12Go Link")</f>
        <v>12Go Link</v>
      </c>
      <c r="E1287" s="2" t="s">
        <v>77</v>
      </c>
    </row>
    <row r="1288">
      <c r="A1288" s="2" t="s">
        <v>459</v>
      </c>
      <c r="B1288" s="2" t="s">
        <v>746</v>
      </c>
      <c r="C1288" s="2" t="s">
        <v>1692</v>
      </c>
      <c r="D1288" s="3" t="str">
        <f>HYPERLINK("https://12go.asia/en/travel/shanghai-hongqiao/hangzhou-west", "12Go Link")</f>
        <v>12Go Link</v>
      </c>
      <c r="E1288" s="2" t="s">
        <v>77</v>
      </c>
    </row>
    <row r="1289">
      <c r="A1289" s="2" t="s">
        <v>459</v>
      </c>
      <c r="B1289" s="2" t="s">
        <v>1394</v>
      </c>
      <c r="C1289" s="2" t="s">
        <v>1693</v>
      </c>
      <c r="D1289" s="3" t="str">
        <f>HYPERLINK("https://12go.asia/en/travel/shanghai-south/huaian-east", "12Go Link")</f>
        <v>12Go Link</v>
      </c>
      <c r="E1289" s="2" t="s">
        <v>77</v>
      </c>
    </row>
    <row r="1290">
      <c r="A1290" s="2" t="s">
        <v>459</v>
      </c>
      <c r="B1290" s="2" t="s">
        <v>495</v>
      </c>
      <c r="C1290" s="2" t="s">
        <v>1694</v>
      </c>
      <c r="D1290" s="3" t="str">
        <f>HYPERLINK("https://12go.asia/en/travel/shanghai-hongqiao/huainan-south", "12Go Link")</f>
        <v>12Go Link</v>
      </c>
      <c r="E1290" s="2" t="s">
        <v>77</v>
      </c>
    </row>
    <row r="1291">
      <c r="A1291" s="2" t="s">
        <v>459</v>
      </c>
      <c r="B1291" s="2" t="s">
        <v>495</v>
      </c>
      <c r="C1291" s="2" t="s">
        <v>1695</v>
      </c>
      <c r="D1291" s="3" t="str">
        <f>HYPERLINK("https://12go.asia/en/travel/shanghai-south/huainan-south", "12Go Link")</f>
        <v>12Go Link</v>
      </c>
      <c r="E1291" s="2" t="s">
        <v>77</v>
      </c>
    </row>
    <row r="1292">
      <c r="A1292" s="2" t="s">
        <v>459</v>
      </c>
      <c r="B1292" s="2" t="s">
        <v>495</v>
      </c>
      <c r="C1292" s="2" t="s">
        <v>1696</v>
      </c>
      <c r="D1292" s="3" t="str">
        <f>HYPERLINK("https://12go.asia/en/travel/shanghai-south/shouxian", "12Go Link")</f>
        <v>12Go Link</v>
      </c>
      <c r="E1292" s="2" t="s">
        <v>77</v>
      </c>
    </row>
    <row r="1293">
      <c r="A1293" s="2" t="s">
        <v>459</v>
      </c>
      <c r="B1293" s="2" t="s">
        <v>1397</v>
      </c>
      <c r="C1293" s="2" t="s">
        <v>1697</v>
      </c>
      <c r="D1293" s="3" t="str">
        <f>HYPERLINK("https://12go.asia/en/travel/shanghai-south/huanggang-west", "12Go Link")</f>
        <v>12Go Link</v>
      </c>
      <c r="E1293" s="2" t="s">
        <v>77</v>
      </c>
    </row>
    <row r="1294">
      <c r="A1294" s="2" t="s">
        <v>459</v>
      </c>
      <c r="B1294" s="2" t="s">
        <v>752</v>
      </c>
      <c r="C1294" s="2" t="s">
        <v>1698</v>
      </c>
      <c r="D1294" s="3" t="str">
        <f>HYPERLINK("https://12go.asia/en/travel/shanghai-south/huangshan-north", "12Go Link")</f>
        <v>12Go Link</v>
      </c>
      <c r="E1294" s="2" t="s">
        <v>77</v>
      </c>
    </row>
    <row r="1295">
      <c r="A1295" s="2" t="s">
        <v>459</v>
      </c>
      <c r="B1295" s="2" t="s">
        <v>598</v>
      </c>
      <c r="C1295" s="2" t="s">
        <v>1699</v>
      </c>
      <c r="D1295" s="3" t="str">
        <f>HYPERLINK("https://12go.asia/en/travel/shanghai-south/huashan-north", "12Go Link")</f>
        <v>12Go Link</v>
      </c>
      <c r="E1295" s="2" t="s">
        <v>77</v>
      </c>
    </row>
    <row r="1296">
      <c r="A1296" s="2" t="s">
        <v>459</v>
      </c>
      <c r="B1296" s="2" t="s">
        <v>450</v>
      </c>
      <c r="C1296" s="2" t="s">
        <v>1700</v>
      </c>
      <c r="D1296" s="3" t="str">
        <f>HYPERLINK("https://12go.asia/en/travel/shanghai-south/jiangning-west", "12Go Link")</f>
        <v>12Go Link</v>
      </c>
      <c r="E1296" s="2" t="s">
        <v>77</v>
      </c>
    </row>
    <row r="1297">
      <c r="A1297" s="2" t="s">
        <v>459</v>
      </c>
      <c r="B1297" s="2" t="s">
        <v>765</v>
      </c>
      <c r="C1297" s="2" t="s">
        <v>1701</v>
      </c>
      <c r="D1297" s="3" t="str">
        <f>HYPERLINK("https://12go.asia/en/travel/shanghai-south/quanzhounan", "12Go Link")</f>
        <v>12Go Link</v>
      </c>
      <c r="E1297" s="2" t="s">
        <v>77</v>
      </c>
    </row>
    <row r="1298">
      <c r="A1298" s="2" t="s">
        <v>459</v>
      </c>
      <c r="B1298" s="2" t="s">
        <v>370</v>
      </c>
      <c r="C1298" s="2" t="s">
        <v>1702</v>
      </c>
      <c r="D1298" s="3" t="str">
        <f>HYPERLINK("https://12go.asia/en/travel/shanghai-south/lanzhou-west", "12Go Link")</f>
        <v>12Go Link</v>
      </c>
      <c r="E1298" s="2" t="s">
        <v>77</v>
      </c>
    </row>
    <row r="1299">
      <c r="A1299" s="2" t="s">
        <v>459</v>
      </c>
      <c r="B1299" s="2" t="s">
        <v>1409</v>
      </c>
      <c r="C1299" s="2" t="s">
        <v>1703</v>
      </c>
      <c r="D1299" s="3" t="str">
        <f>HYPERLINK("https://12go.asia/en/travel/shanghai-south/luoyang-longmen", "12Go Link")</f>
        <v>12Go Link</v>
      </c>
      <c r="E1299" s="2" t="s">
        <v>77</v>
      </c>
    </row>
    <row r="1300">
      <c r="A1300" s="2" t="s">
        <v>459</v>
      </c>
      <c r="B1300" s="2" t="s">
        <v>982</v>
      </c>
      <c r="C1300" s="2" t="s">
        <v>1704</v>
      </c>
      <c r="D1300" s="3" t="str">
        <f>HYPERLINK("https://12go.asia/en/travel/shanghai-south/ningde", "12Go Link")</f>
        <v>12Go Link</v>
      </c>
      <c r="E1300" s="2" t="s">
        <v>77</v>
      </c>
    </row>
    <row r="1301">
      <c r="A1301" s="2" t="s">
        <v>459</v>
      </c>
      <c r="B1301" s="2" t="s">
        <v>1415</v>
      </c>
      <c r="C1301" s="2" t="s">
        <v>1705</v>
      </c>
      <c r="D1301" s="3" t="str">
        <f>HYPERLINK("https://12go.asia/en/travel/shanghai-south/shenzhen-pingshan", "12Go Link")</f>
        <v>12Go Link</v>
      </c>
      <c r="E1301" s="2" t="s">
        <v>77</v>
      </c>
    </row>
    <row r="1302">
      <c r="A1302" s="2" t="s">
        <v>459</v>
      </c>
      <c r="B1302" s="2" t="s">
        <v>1379</v>
      </c>
      <c r="C1302" s="2" t="s">
        <v>1706</v>
      </c>
      <c r="D1302" s="3" t="str">
        <f>HYPERLINK("https://12go.asia/en/travel/shanghai-south/pingxiang-north", "12Go Link")</f>
        <v>12Go Link</v>
      </c>
      <c r="E1302" s="2" t="s">
        <v>77</v>
      </c>
    </row>
    <row r="1303">
      <c r="A1303" s="2" t="s">
        <v>459</v>
      </c>
      <c r="B1303" s="2" t="s">
        <v>511</v>
      </c>
      <c r="C1303" s="2" t="s">
        <v>1707</v>
      </c>
      <c r="D1303" s="3" t="str">
        <f>HYPERLINK("https://12go.asia/en/travel/shanghai-hongqiao/pingyao-ancient-city", "12Go Link")</f>
        <v>12Go Link</v>
      </c>
      <c r="E1303" s="2" t="s">
        <v>77</v>
      </c>
    </row>
    <row r="1304">
      <c r="A1304" s="2" t="s">
        <v>459</v>
      </c>
      <c r="B1304" s="2" t="s">
        <v>1417</v>
      </c>
      <c r="C1304" s="2" t="s">
        <v>1708</v>
      </c>
      <c r="D1304" s="3" t="str">
        <f>HYPERLINK("https://12go.asia/en/travel/shanghai-south/qichun-south", "12Go Link")</f>
        <v>12Go Link</v>
      </c>
      <c r="E1304" s="2" t="s">
        <v>77</v>
      </c>
    </row>
    <row r="1305">
      <c r="A1305" s="2" t="s">
        <v>459</v>
      </c>
      <c r="B1305" s="2" t="s">
        <v>716</v>
      </c>
      <c r="C1305" s="2" t="s">
        <v>1709</v>
      </c>
      <c r="D1305" s="3" t="str">
        <f>HYPERLINK("https://12go.asia/en/travel/shanghai-south/quanzhou", "12Go Link")</f>
        <v>12Go Link</v>
      </c>
      <c r="E1305" s="2" t="s">
        <v>77</v>
      </c>
    </row>
    <row r="1306">
      <c r="A1306" s="2" t="s">
        <v>459</v>
      </c>
      <c r="B1306" s="2" t="s">
        <v>716</v>
      </c>
      <c r="C1306" s="2" t="s">
        <v>1710</v>
      </c>
      <c r="D1306" s="3" t="str">
        <f>HYPERLINK("https://12go.asia/en/travel/shanghai-south/quanzhou-east", "12Go Link")</f>
        <v>12Go Link</v>
      </c>
      <c r="E1306" s="2" t="s">
        <v>77</v>
      </c>
    </row>
    <row r="1307">
      <c r="A1307" s="2" t="s">
        <v>459</v>
      </c>
      <c r="B1307" s="2" t="s">
        <v>782</v>
      </c>
      <c r="C1307" s="2" t="s">
        <v>1711</v>
      </c>
      <c r="D1307" s="3" t="str">
        <f>HYPERLINK("https://12go.asia/en/travel/shanghai-south/shenzhen-north", "12Go Link")</f>
        <v>12Go Link</v>
      </c>
      <c r="E1307" s="2" t="s">
        <v>77</v>
      </c>
    </row>
    <row r="1308">
      <c r="A1308" s="2" t="s">
        <v>459</v>
      </c>
      <c r="B1308" s="2" t="s">
        <v>1422</v>
      </c>
      <c r="C1308" s="2" t="s">
        <v>1712</v>
      </c>
      <c r="D1308" s="3" t="str">
        <f>HYPERLINK("https://12go.asia/en/travel/shanghai-south/jianxi", "12Go Link")</f>
        <v>12Go Link</v>
      </c>
      <c r="E1308" s="2" t="s">
        <v>77</v>
      </c>
    </row>
    <row r="1309">
      <c r="A1309" s="2" t="s">
        <v>459</v>
      </c>
      <c r="B1309" s="2" t="s">
        <v>697</v>
      </c>
      <c r="C1309" s="2" t="s">
        <v>1713</v>
      </c>
      <c r="D1309" s="3" t="str">
        <f>HYPERLINK("https://12go.asia/en/travel/shanghai-south/taizhou", "12Go Link")</f>
        <v>12Go Link</v>
      </c>
      <c r="E1309" s="2" t="s">
        <v>77</v>
      </c>
    </row>
    <row r="1310">
      <c r="A1310" s="2" t="s">
        <v>459</v>
      </c>
      <c r="B1310" s="2" t="s">
        <v>1052</v>
      </c>
      <c r="C1310" s="2" t="s">
        <v>1714</v>
      </c>
      <c r="D1310" s="3" t="str">
        <f>HYPERLINK("https://12go.asia/en/travel/shanghai-south/tianshui-south", "12Go Link")</f>
        <v>12Go Link</v>
      </c>
      <c r="E1310" s="2" t="s">
        <v>77</v>
      </c>
    </row>
    <row r="1311">
      <c r="A1311" s="2" t="s">
        <v>459</v>
      </c>
      <c r="B1311" s="2" t="s">
        <v>1304</v>
      </c>
      <c r="C1311" s="2" t="s">
        <v>1715</v>
      </c>
      <c r="D1311" s="3" t="str">
        <f>HYPERLINK("https://12go.asia/en/travel/shanghai-south/nantong-west", "12Go Link")</f>
        <v>12Go Link</v>
      </c>
      <c r="E1311" s="2" t="s">
        <v>77</v>
      </c>
    </row>
    <row r="1312">
      <c r="A1312" s="2" t="s">
        <v>459</v>
      </c>
      <c r="B1312" s="2" t="s">
        <v>786</v>
      </c>
      <c r="C1312" s="2" t="s">
        <v>1716</v>
      </c>
      <c r="D1312" s="3" t="str">
        <f>HYPERLINK("https://12go.asia/en/travel/shanghai-south/pingyang", "12Go Link")</f>
        <v>12Go Link</v>
      </c>
      <c r="E1312" s="2" t="s">
        <v>77</v>
      </c>
    </row>
    <row r="1313">
      <c r="A1313" s="2" t="s">
        <v>459</v>
      </c>
      <c r="B1313" s="2" t="s">
        <v>786</v>
      </c>
      <c r="C1313" s="2" t="s">
        <v>1717</v>
      </c>
      <c r="D1313" s="3" t="str">
        <f>HYPERLINK("https://12go.asia/en/travel/shanghai-south/wenzhou-north", "12Go Link")</f>
        <v>12Go Link</v>
      </c>
      <c r="E1313" s="2" t="s">
        <v>77</v>
      </c>
    </row>
    <row r="1314">
      <c r="A1314" s="2" t="s">
        <v>459</v>
      </c>
      <c r="B1314" s="2" t="s">
        <v>786</v>
      </c>
      <c r="C1314" s="2" t="s">
        <v>1718</v>
      </c>
      <c r="D1314" s="3" t="str">
        <f>HYPERLINK("https://12go.asia/en/travel/shanghai-south/wenzhou-south", "12Go Link")</f>
        <v>12Go Link</v>
      </c>
      <c r="E1314" s="2" t="s">
        <v>77</v>
      </c>
    </row>
    <row r="1315">
      <c r="A1315" s="2" t="s">
        <v>459</v>
      </c>
      <c r="B1315" s="2" t="s">
        <v>1431</v>
      </c>
      <c r="C1315" s="2" t="s">
        <v>1719</v>
      </c>
      <c r="D1315" s="3" t="str">
        <f>HYPERLINK("https://12go.asia/en/travel/shanghai-south/wuyishan-north", "12Go Link")</f>
        <v>12Go Link</v>
      </c>
      <c r="E1315" s="2" t="s">
        <v>77</v>
      </c>
    </row>
    <row r="1316">
      <c r="A1316" s="2" t="s">
        <v>459</v>
      </c>
      <c r="B1316" s="2" t="s">
        <v>469</v>
      </c>
      <c r="C1316" s="2" t="s">
        <v>1720</v>
      </c>
      <c r="D1316" s="3" t="str">
        <f>HYPERLINK("https://12go.asia/en/travel/shanghai-south/xian-north", "12Go Link")</f>
        <v>12Go Link</v>
      </c>
      <c r="E1316" s="2" t="s">
        <v>77</v>
      </c>
    </row>
    <row r="1317">
      <c r="A1317" s="2" t="s">
        <v>459</v>
      </c>
      <c r="B1317" s="2" t="s">
        <v>907</v>
      </c>
      <c r="C1317" s="2" t="s">
        <v>1721</v>
      </c>
      <c r="D1317" s="3" t="str">
        <f>HYPERLINK("https://12go.asia/en/travel/shanghai-south/langxi-south", "12Go Link")</f>
        <v>12Go Link</v>
      </c>
      <c r="E1317" s="2" t="s">
        <v>77</v>
      </c>
    </row>
    <row r="1318">
      <c r="A1318" s="2" t="s">
        <v>459</v>
      </c>
      <c r="B1318" s="2" t="s">
        <v>1437</v>
      </c>
      <c r="C1318" s="2" t="s">
        <v>1722</v>
      </c>
      <c r="D1318" s="3" t="str">
        <f>HYPERLINK("https://12go.asia/en/travel/shanghai-south/guanyin-airport", "12Go Link")</f>
        <v>12Go Link</v>
      </c>
      <c r="E1318" s="2" t="s">
        <v>77</v>
      </c>
    </row>
    <row r="1319">
      <c r="A1319" s="2" t="s">
        <v>459</v>
      </c>
      <c r="B1319" s="2" t="s">
        <v>1437</v>
      </c>
      <c r="C1319" s="2" t="s">
        <v>1723</v>
      </c>
      <c r="D1319" s="3" t="str">
        <f>HYPERLINK("https://12go.asia/en/travel/shanghai-south/xuzhou-east", "12Go Link")</f>
        <v>12Go Link</v>
      </c>
      <c r="E1319" s="2" t="s">
        <v>77</v>
      </c>
    </row>
    <row r="1320">
      <c r="A1320" s="2" t="s">
        <v>459</v>
      </c>
      <c r="B1320" s="2" t="s">
        <v>794</v>
      </c>
      <c r="C1320" s="2" t="s">
        <v>1724</v>
      </c>
      <c r="D1320" s="3" t="str">
        <f>HYPERLINK("https://12go.asia/en/travel/shanghai-hongqiao/hengdian", "12Go Link")</f>
        <v>12Go Link</v>
      </c>
      <c r="E1320" s="2" t="s">
        <v>77</v>
      </c>
    </row>
    <row r="1321">
      <c r="A1321" s="2" t="s">
        <v>459</v>
      </c>
      <c r="B1321" s="2" t="s">
        <v>794</v>
      </c>
      <c r="C1321" s="2" t="s">
        <v>1725</v>
      </c>
      <c r="D1321" s="3" t="str">
        <f>HYPERLINK("https://12go.asia/en/travel/shanghai-south/hengdian", "12Go Link")</f>
        <v>12Go Link</v>
      </c>
      <c r="E1321" s="2" t="s">
        <v>77</v>
      </c>
    </row>
    <row r="1322">
      <c r="A1322" s="2" t="s">
        <v>459</v>
      </c>
      <c r="B1322" s="2" t="s">
        <v>1440</v>
      </c>
      <c r="C1322" s="2" t="s">
        <v>1726</v>
      </c>
      <c r="D1322" s="3" t="str">
        <f>HYPERLINK("https://12go.asia/en/travel/shanghai-south/linping-south", "12Go Link")</f>
        <v>12Go Link</v>
      </c>
      <c r="E1322" s="2" t="s">
        <v>77</v>
      </c>
    </row>
    <row r="1323">
      <c r="A1323" s="2" t="s">
        <v>459</v>
      </c>
      <c r="B1323" s="2" t="s">
        <v>915</v>
      </c>
      <c r="C1323" s="2" t="s">
        <v>1727</v>
      </c>
      <c r="D1323" s="3" t="str">
        <f>HYPERLINK("https://12go.asia/en/travel/shanghai-south/wuhu-south", "12Go Link")</f>
        <v>12Go Link</v>
      </c>
      <c r="E1323" s="2" t="s">
        <v>77</v>
      </c>
    </row>
    <row r="1324">
      <c r="A1324" s="2" t="s">
        <v>459</v>
      </c>
      <c r="B1324" s="2" t="s">
        <v>474</v>
      </c>
      <c r="C1324" s="2" t="s">
        <v>1728</v>
      </c>
      <c r="D1324" s="3" t="str">
        <f>HYPERLINK("https://12go.asia/en/travel/shanghai-south/ruian", "12Go Link")</f>
        <v>12Go Link</v>
      </c>
      <c r="E1324" s="2" t="s">
        <v>77</v>
      </c>
    </row>
    <row r="1325">
      <c r="A1325" s="2" t="s">
        <v>459</v>
      </c>
      <c r="B1325" s="2" t="s">
        <v>474</v>
      </c>
      <c r="C1325" s="2" t="s">
        <v>1729</v>
      </c>
      <c r="D1325" s="3" t="str">
        <f>HYPERLINK("https://12go.asia/en/travel/shanghai-south/shaoxing-north", "12Go Link")</f>
        <v>12Go Link</v>
      </c>
      <c r="E1325" s="2" t="s">
        <v>77</v>
      </c>
    </row>
    <row r="1326">
      <c r="A1326" s="2" t="s">
        <v>459</v>
      </c>
      <c r="B1326" s="2" t="s">
        <v>799</v>
      </c>
      <c r="C1326" s="2" t="s">
        <v>1730</v>
      </c>
      <c r="D1326" s="3" t="str">
        <f>HYPERLINK("https://12go.asia/en/travel/shanghai-south/zhengzhou-east", "12Go Link")</f>
        <v>12Go Link</v>
      </c>
      <c r="E1326" s="2" t="s">
        <v>77</v>
      </c>
    </row>
    <row r="1327">
      <c r="A1327" s="2" t="s">
        <v>461</v>
      </c>
      <c r="B1327" s="2" t="s">
        <v>713</v>
      </c>
      <c r="C1327" s="2" t="s">
        <v>1731</v>
      </c>
      <c r="D1327" s="3" t="str">
        <f>HYPERLINK("https://12go.asia/en/travel/shanghai-hongqiao-airport/guangzhou-east", "12Go Link")</f>
        <v>12Go Link</v>
      </c>
      <c r="E1327" s="2" t="s">
        <v>77</v>
      </c>
    </row>
    <row r="1328">
      <c r="A1328" s="2" t="s">
        <v>461</v>
      </c>
      <c r="B1328" s="2" t="s">
        <v>452</v>
      </c>
      <c r="C1328" s="2" t="s">
        <v>1732</v>
      </c>
      <c r="D1328" s="3" t="str">
        <f>HYPERLINK("https://12go.asia/en/travel/shanghai-hongqiao-airport/danyang-north", "12Go Link")</f>
        <v>12Go Link</v>
      </c>
      <c r="E1328" s="2" t="s">
        <v>77</v>
      </c>
    </row>
    <row r="1329">
      <c r="A1329" s="2" t="s">
        <v>461</v>
      </c>
      <c r="B1329" s="2" t="s">
        <v>474</v>
      </c>
      <c r="C1329" s="2" t="s">
        <v>1733</v>
      </c>
      <c r="D1329" s="3" t="str">
        <f>HYPERLINK("https://12go.asia/en/travel/shanghai-hongqiao-airport/ruian", "12Go Link")</f>
        <v>12Go Link</v>
      </c>
      <c r="E1329" s="2" t="s">
        <v>77</v>
      </c>
    </row>
    <row r="1330">
      <c r="A1330" s="2" t="s">
        <v>461</v>
      </c>
      <c r="B1330" s="2" t="s">
        <v>474</v>
      </c>
      <c r="C1330" s="2" t="s">
        <v>1734</v>
      </c>
      <c r="D1330" s="3" t="str">
        <f>HYPERLINK("https://12go.asia/en/travel/shanghai-hongqiao-airport/yuyao-north", "12Go Link")</f>
        <v>12Go Link</v>
      </c>
      <c r="E1330" s="2" t="s">
        <v>77</v>
      </c>
    </row>
    <row r="1331">
      <c r="A1331" s="2" t="s">
        <v>1735</v>
      </c>
      <c r="B1331" s="2" t="s">
        <v>491</v>
      </c>
      <c r="C1331" s="2" t="s">
        <v>1736</v>
      </c>
      <c r="D1331" s="3" t="str">
        <f>HYPERLINK("https://12go.asia/en/travel/taigu-west/beijing-fengtai", "12Go Link")</f>
        <v>12Go Link</v>
      </c>
      <c r="E1331" s="2" t="s">
        <v>77</v>
      </c>
    </row>
    <row r="1332">
      <c r="A1332" s="2" t="s">
        <v>603</v>
      </c>
      <c r="B1332" s="2" t="s">
        <v>1300</v>
      </c>
      <c r="C1332" s="2" t="s">
        <v>1737</v>
      </c>
      <c r="D1332" s="3" t="str">
        <f>HYPERLINK("https://12go.asia/en/travel/shenyang-north/linfen-west", "12Go Link")</f>
        <v>12Go Link</v>
      </c>
      <c r="E1332" s="2" t="s">
        <v>77</v>
      </c>
    </row>
    <row r="1333">
      <c r="A1333" s="2" t="s">
        <v>603</v>
      </c>
      <c r="B1333" s="2" t="s">
        <v>405</v>
      </c>
      <c r="C1333" s="2" t="s">
        <v>1738</v>
      </c>
      <c r="D1333" s="3" t="str">
        <f>HYPERLINK("https://12go.asia/en/travel/shenyang/zhangjiakou", "12Go Link")</f>
        <v>12Go Link</v>
      </c>
      <c r="E1333" s="2" t="s">
        <v>77</v>
      </c>
    </row>
    <row r="1334">
      <c r="A1334" s="2" t="s">
        <v>782</v>
      </c>
      <c r="B1334" s="2" t="s">
        <v>623</v>
      </c>
      <c r="C1334" s="2" t="s">
        <v>1739</v>
      </c>
      <c r="D1334" s="3" t="str">
        <f>HYPERLINK("https://12go.asia/en/travel/shenzhen-east/chongqing-west", "12Go Link")</f>
        <v>12Go Link</v>
      </c>
      <c r="E1334" s="2" t="s">
        <v>77</v>
      </c>
    </row>
    <row r="1335">
      <c r="A1335" s="2" t="s">
        <v>782</v>
      </c>
      <c r="B1335" s="2" t="s">
        <v>459</v>
      </c>
      <c r="C1335" s="2" t="s">
        <v>1740</v>
      </c>
      <c r="D1335" s="3" t="str">
        <f>HYPERLINK("https://12go.asia/en/travel/shenzhen-north/shanghai-south", "12Go Link")</f>
        <v>12Go Link</v>
      </c>
      <c r="E1335" s="2" t="s">
        <v>77</v>
      </c>
    </row>
    <row r="1336">
      <c r="A1336" s="2" t="s">
        <v>782</v>
      </c>
      <c r="B1336" s="2" t="s">
        <v>1620</v>
      </c>
      <c r="C1336" s="2" t="s">
        <v>1741</v>
      </c>
      <c r="D1336" s="3" t="str">
        <f>HYPERLINK("https://12go.asia/en/travel/shenzhen-north/taiyuan-south", "12Go Link")</f>
        <v>12Go Link</v>
      </c>
      <c r="E1336" s="2" t="s">
        <v>77</v>
      </c>
    </row>
    <row r="1337">
      <c r="A1337" s="2" t="s">
        <v>782</v>
      </c>
      <c r="B1337" s="2" t="s">
        <v>929</v>
      </c>
      <c r="C1337" s="2" t="s">
        <v>1742</v>
      </c>
      <c r="D1337" s="3" t="str">
        <f>HYPERLINK("https://12go.asia/en/travel/shenzhen-north/xinyu-north", "12Go Link")</f>
        <v>12Go Link</v>
      </c>
      <c r="E1337" s="2" t="s">
        <v>77</v>
      </c>
    </row>
    <row r="1338">
      <c r="A1338" s="2" t="s">
        <v>782</v>
      </c>
      <c r="B1338" s="2" t="s">
        <v>1743</v>
      </c>
      <c r="C1338" s="2" t="s">
        <v>1744</v>
      </c>
      <c r="D1338" s="3" t="str">
        <f>HYPERLINK("https://12go.asia/en/travel/shenzhen/yichang-east", "12Go Link")</f>
        <v>12Go Link</v>
      </c>
      <c r="E1338" s="2" t="s">
        <v>77</v>
      </c>
    </row>
    <row r="1339">
      <c r="A1339" s="2" t="s">
        <v>631</v>
      </c>
      <c r="B1339" s="2" t="s">
        <v>442</v>
      </c>
      <c r="C1339" s="2" t="s">
        <v>1745</v>
      </c>
      <c r="D1339" s="3" t="str">
        <f>HYPERLINK("https://12go.asia/en/travel/shiyan/cangzhou", "12Go Link")</f>
        <v>12Go Link</v>
      </c>
      <c r="E1339" s="2" t="s">
        <v>77</v>
      </c>
    </row>
    <row r="1340">
      <c r="A1340" s="2" t="s">
        <v>1746</v>
      </c>
      <c r="B1340" s="2" t="s">
        <v>486</v>
      </c>
      <c r="C1340" s="2" t="s">
        <v>1747</v>
      </c>
      <c r="D1340" s="3" t="str">
        <f>HYPERLINK("https://12go.asia/en/travel/neijiang-east/zigong", "12Go Link")</f>
        <v>12Go Link</v>
      </c>
      <c r="E1340" s="2" t="s">
        <v>77</v>
      </c>
    </row>
    <row r="1341">
      <c r="A1341" s="2" t="s">
        <v>1748</v>
      </c>
      <c r="B1341" s="2" t="s">
        <v>1644</v>
      </c>
      <c r="C1341" s="2" t="s">
        <v>1749</v>
      </c>
      <c r="D1341" s="3" t="str">
        <f>HYPERLINK("https://12go.asia/en/travel/siping-east/mudanjiang", "12Go Link")</f>
        <v>12Go Link</v>
      </c>
      <c r="E1341" s="2" t="s">
        <v>77</v>
      </c>
    </row>
    <row r="1342">
      <c r="A1342" s="2" t="s">
        <v>1748</v>
      </c>
      <c r="B1342" s="2" t="s">
        <v>1644</v>
      </c>
      <c r="C1342" s="2" t="s">
        <v>1750</v>
      </c>
      <c r="D1342" s="3" t="str">
        <f>HYPERLINK("https://12go.asia/en/travel/siping/mudanjiang", "12Go Link")</f>
        <v>12Go Link</v>
      </c>
      <c r="E1342" s="2" t="s">
        <v>77</v>
      </c>
    </row>
    <row r="1343">
      <c r="A1343" s="2" t="s">
        <v>1748</v>
      </c>
      <c r="B1343" s="2" t="s">
        <v>1751</v>
      </c>
      <c r="C1343" s="2" t="s">
        <v>1752</v>
      </c>
      <c r="D1343" s="3" t="str">
        <f>HYPERLINK("https://12go.asia/en/travel/siping/tieling", "12Go Link")</f>
        <v>12Go Link</v>
      </c>
      <c r="E1343" s="2" t="s">
        <v>77</v>
      </c>
    </row>
    <row r="1344">
      <c r="A1344" s="2" t="s">
        <v>420</v>
      </c>
      <c r="B1344" s="2" t="s">
        <v>380</v>
      </c>
      <c r="C1344" s="2" t="s">
        <v>1753</v>
      </c>
      <c r="D1344" s="3" t="str">
        <f>HYPERLINK("https://12go.asia/en/travel/shanghai-songjiang/xuancheng", "12Go Link")</f>
        <v>12Go Link</v>
      </c>
      <c r="E1344" s="2" t="s">
        <v>77</v>
      </c>
    </row>
    <row r="1345">
      <c r="A1345" s="2" t="s">
        <v>420</v>
      </c>
      <c r="B1345" s="2" t="s">
        <v>442</v>
      </c>
      <c r="C1345" s="2" t="s">
        <v>1754</v>
      </c>
      <c r="D1345" s="3" t="str">
        <f>HYPERLINK("https://12go.asia/en/travel/shanghai-songjiang/cangzhou", "12Go Link")</f>
        <v>12Go Link</v>
      </c>
      <c r="E1345" s="2" t="s">
        <v>77</v>
      </c>
    </row>
    <row r="1346">
      <c r="A1346" s="2" t="s">
        <v>420</v>
      </c>
      <c r="B1346" s="2" t="s">
        <v>442</v>
      </c>
      <c r="C1346" s="2" t="s">
        <v>1755</v>
      </c>
      <c r="D1346" s="3" t="str">
        <f>HYPERLINK("https://12go.asia/en/travel/songjiang-shanghai/cangzhou", "12Go Link")</f>
        <v>12Go Link</v>
      </c>
      <c r="E1346" s="2" t="s">
        <v>77</v>
      </c>
    </row>
    <row r="1347">
      <c r="A1347" s="2" t="s">
        <v>420</v>
      </c>
      <c r="B1347" s="2" t="s">
        <v>608</v>
      </c>
      <c r="C1347" s="2" t="s">
        <v>1756</v>
      </c>
      <c r="D1347" s="3" t="str">
        <f>HYPERLINK("https://12go.asia/en/travel/shanghai-songjiang/dongguan-east", "12Go Link")</f>
        <v>12Go Link</v>
      </c>
      <c r="E1347" s="2" t="s">
        <v>77</v>
      </c>
    </row>
    <row r="1348">
      <c r="A1348" s="2" t="s">
        <v>420</v>
      </c>
      <c r="B1348" s="2" t="s">
        <v>608</v>
      </c>
      <c r="C1348" s="2" t="s">
        <v>1757</v>
      </c>
      <c r="D1348" s="3" t="str">
        <f>HYPERLINK("https://12go.asia/en/travel/songjiang-shanghai/dongguan", "12Go Link")</f>
        <v>12Go Link</v>
      </c>
      <c r="E1348" s="2" t="s">
        <v>77</v>
      </c>
    </row>
    <row r="1349">
      <c r="A1349" s="2" t="s">
        <v>420</v>
      </c>
      <c r="B1349" s="2" t="s">
        <v>736</v>
      </c>
      <c r="C1349" s="2" t="s">
        <v>1758</v>
      </c>
      <c r="D1349" s="3" t="str">
        <f>HYPERLINK("https://12go.asia/en/travel/songjiang-shanghai/funing", "12Go Link")</f>
        <v>12Go Link</v>
      </c>
      <c r="E1349" s="2" t="s">
        <v>77</v>
      </c>
    </row>
    <row r="1350">
      <c r="A1350" s="2" t="s">
        <v>420</v>
      </c>
      <c r="B1350" s="2" t="s">
        <v>711</v>
      </c>
      <c r="C1350" s="2" t="s">
        <v>1759</v>
      </c>
      <c r="D1350" s="3" t="str">
        <f>HYPERLINK("https://12go.asia/en/travel/songjiang-shanghai/guangdong", "12Go Link")</f>
        <v>12Go Link</v>
      </c>
      <c r="E1350" s="2" t="s">
        <v>77</v>
      </c>
    </row>
    <row r="1351">
      <c r="A1351" s="2" t="s">
        <v>420</v>
      </c>
      <c r="B1351" s="2" t="s">
        <v>972</v>
      </c>
      <c r="C1351" s="2" t="s">
        <v>1760</v>
      </c>
      <c r="D1351" s="3" t="str">
        <f>HYPERLINK("https://12go.asia/en/travel/songjiang-shanghai/hainan", "12Go Link")</f>
        <v>12Go Link</v>
      </c>
      <c r="E1351" s="2" t="s">
        <v>77</v>
      </c>
    </row>
    <row r="1352">
      <c r="A1352" s="2" t="s">
        <v>420</v>
      </c>
      <c r="B1352" s="2" t="s">
        <v>752</v>
      </c>
      <c r="C1352" s="2" t="s">
        <v>1761</v>
      </c>
      <c r="D1352" s="3" t="str">
        <f>HYPERLINK("https://12go.asia/en/travel/shanghai-songjiang/huangshan-north", "12Go Link")</f>
        <v>12Go Link</v>
      </c>
      <c r="E1352" s="2" t="s">
        <v>77</v>
      </c>
    </row>
    <row r="1353">
      <c r="A1353" s="2" t="s">
        <v>420</v>
      </c>
      <c r="B1353" s="2" t="s">
        <v>752</v>
      </c>
      <c r="C1353" s="2" t="s">
        <v>1762</v>
      </c>
      <c r="D1353" s="3" t="str">
        <f>HYPERLINK("https://12go.asia/en/travel/songjiang-shanghai/huangshan", "12Go Link")</f>
        <v>12Go Link</v>
      </c>
      <c r="E1353" s="2" t="s">
        <v>77</v>
      </c>
    </row>
    <row r="1354">
      <c r="A1354" s="2" t="s">
        <v>420</v>
      </c>
      <c r="B1354" s="2" t="s">
        <v>722</v>
      </c>
      <c r="C1354" s="2" t="s">
        <v>1763</v>
      </c>
      <c r="D1354" s="3" t="str">
        <f>HYPERLINK("https://12go.asia/en/travel/shanghai-songjiang/huizhou", "12Go Link")</f>
        <v>12Go Link</v>
      </c>
      <c r="E1354" s="2" t="s">
        <v>77</v>
      </c>
    </row>
    <row r="1355">
      <c r="A1355" s="2" t="s">
        <v>420</v>
      </c>
      <c r="B1355" s="2" t="s">
        <v>722</v>
      </c>
      <c r="C1355" s="2" t="s">
        <v>1764</v>
      </c>
      <c r="D1355" s="3" t="str">
        <f>HYPERLINK("https://12go.asia/en/travel/songjiang-shanghai/huizhou", "12Go Link")</f>
        <v>12Go Link</v>
      </c>
      <c r="E1355" s="2" t="s">
        <v>77</v>
      </c>
    </row>
    <row r="1356">
      <c r="A1356" s="2" t="s">
        <v>420</v>
      </c>
      <c r="B1356" s="2" t="s">
        <v>730</v>
      </c>
      <c r="C1356" s="2" t="s">
        <v>1765</v>
      </c>
      <c r="D1356" s="3" t="str">
        <f>HYPERLINK("https://12go.asia/en/travel/songjiang-shanghai/jiangyuan", "12Go Link")</f>
        <v>12Go Link</v>
      </c>
      <c r="E1356" s="2" t="s">
        <v>77</v>
      </c>
    </row>
    <row r="1357">
      <c r="A1357" s="2" t="s">
        <v>420</v>
      </c>
      <c r="B1357" s="2" t="s">
        <v>1046</v>
      </c>
      <c r="C1357" s="2" t="s">
        <v>1766</v>
      </c>
      <c r="D1357" s="3" t="str">
        <f>HYPERLINK("https://12go.asia/en/travel/shanghai-songjiang/jishou", "12Go Link")</f>
        <v>12Go Link</v>
      </c>
      <c r="E1357" s="2" t="s">
        <v>77</v>
      </c>
    </row>
    <row r="1358">
      <c r="A1358" s="2" t="s">
        <v>420</v>
      </c>
      <c r="B1358" s="2" t="s">
        <v>1046</v>
      </c>
      <c r="C1358" s="2" t="s">
        <v>1767</v>
      </c>
      <c r="D1358" s="3" t="str">
        <f>HYPERLINK("https://12go.asia/en/travel/songjiang-shanghai/jishou", "12Go Link")</f>
        <v>12Go Link</v>
      </c>
      <c r="E1358" s="2" t="s">
        <v>77</v>
      </c>
    </row>
    <row r="1359">
      <c r="A1359" s="2" t="s">
        <v>420</v>
      </c>
      <c r="B1359" s="2" t="s">
        <v>511</v>
      </c>
      <c r="C1359" s="2" t="s">
        <v>1768</v>
      </c>
      <c r="D1359" s="3" t="str">
        <f>HYPERLINK("https://12go.asia/en/travel/shanghai-songjiang/pingyao-ancient-city", "12Go Link")</f>
        <v>12Go Link</v>
      </c>
      <c r="E1359" s="2" t="s">
        <v>77</v>
      </c>
    </row>
    <row r="1360">
      <c r="A1360" s="2" t="s">
        <v>420</v>
      </c>
      <c r="B1360" s="2" t="s">
        <v>511</v>
      </c>
      <c r="C1360" s="2" t="s">
        <v>1769</v>
      </c>
      <c r="D1360" s="3" t="str">
        <f>HYPERLINK("https://12go.asia/en/travel/songjiang-shanghai/pingyao", "12Go Link")</f>
        <v>12Go Link</v>
      </c>
      <c r="E1360" s="2" t="s">
        <v>77</v>
      </c>
    </row>
    <row r="1361">
      <c r="A1361" s="2" t="s">
        <v>420</v>
      </c>
      <c r="B1361" s="2" t="s">
        <v>514</v>
      </c>
      <c r="C1361" s="2" t="s">
        <v>1770</v>
      </c>
      <c r="D1361" s="3" t="str">
        <f>HYPERLINK("https://12go.asia/en/travel/shanghai-songjiang/qujing", "12Go Link")</f>
        <v>12Go Link</v>
      </c>
      <c r="E1361" s="2" t="s">
        <v>77</v>
      </c>
    </row>
    <row r="1362">
      <c r="A1362" s="2" t="s">
        <v>420</v>
      </c>
      <c r="B1362" s="2" t="s">
        <v>514</v>
      </c>
      <c r="C1362" s="2" t="s">
        <v>1771</v>
      </c>
      <c r="D1362" s="3" t="str">
        <f>HYPERLINK("https://12go.asia/en/travel/songjiang-shanghai/qujing", "12Go Link")</f>
        <v>12Go Link</v>
      </c>
      <c r="E1362" s="2" t="s">
        <v>77</v>
      </c>
    </row>
    <row r="1363">
      <c r="A1363" s="2" t="s">
        <v>420</v>
      </c>
      <c r="B1363" s="2" t="s">
        <v>814</v>
      </c>
      <c r="C1363" s="2" t="s">
        <v>1772</v>
      </c>
      <c r="D1363" s="3" t="str">
        <f>HYPERLINK("https://12go.asia/en/travel/songjiang-north/suzhou", "12Go Link")</f>
        <v>12Go Link</v>
      </c>
      <c r="E1363" s="2" t="s">
        <v>77</v>
      </c>
    </row>
    <row r="1364">
      <c r="A1364" s="2" t="s">
        <v>420</v>
      </c>
      <c r="B1364" s="2" t="s">
        <v>907</v>
      </c>
      <c r="C1364" s="2" t="s">
        <v>1773</v>
      </c>
      <c r="D1364" s="3" t="str">
        <f>HYPERLINK("https://12go.asia/en/travel/shanghai-songjiang/langxi-south", "12Go Link")</f>
        <v>12Go Link</v>
      </c>
      <c r="E1364" s="2" t="s">
        <v>77</v>
      </c>
    </row>
    <row r="1365">
      <c r="A1365" s="2" t="s">
        <v>420</v>
      </c>
      <c r="B1365" s="2" t="s">
        <v>907</v>
      </c>
      <c r="C1365" s="2" t="s">
        <v>1774</v>
      </c>
      <c r="D1365" s="3" t="str">
        <f>HYPERLINK("https://12go.asia/en/travel/songjiang-shanghai/xuanzhou", "12Go Link")</f>
        <v>12Go Link</v>
      </c>
      <c r="E1365" s="2" t="s">
        <v>77</v>
      </c>
    </row>
    <row r="1366">
      <c r="A1366" s="2" t="s">
        <v>420</v>
      </c>
      <c r="B1366" s="2" t="s">
        <v>1775</v>
      </c>
      <c r="C1366" s="2" t="s">
        <v>1776</v>
      </c>
      <c r="D1366" s="3" t="str">
        <f>HYPERLINK("https://12go.asia/en/travel/shanghai-songjiang/yantai-south", "12Go Link")</f>
        <v>12Go Link</v>
      </c>
      <c r="E1366" s="2" t="s">
        <v>77</v>
      </c>
    </row>
    <row r="1367">
      <c r="A1367" s="2" t="s">
        <v>420</v>
      </c>
      <c r="B1367" s="2" t="s">
        <v>1775</v>
      </c>
      <c r="C1367" s="2" t="s">
        <v>1777</v>
      </c>
      <c r="D1367" s="3" t="str">
        <f>HYPERLINK("https://12go.asia/en/travel/songjiang-shanghai/yantai", "12Go Link")</f>
        <v>12Go Link</v>
      </c>
      <c r="E1367" s="2" t="s">
        <v>77</v>
      </c>
    </row>
    <row r="1368">
      <c r="A1368" s="2" t="s">
        <v>420</v>
      </c>
      <c r="B1368" s="2" t="s">
        <v>918</v>
      </c>
      <c r="C1368" s="2" t="s">
        <v>1778</v>
      </c>
      <c r="D1368" s="3" t="str">
        <f>HYPERLINK("https://12go.asia/en/travel/songjiang-shanghai/yuzhong", "12Go Link")</f>
        <v>12Go Link</v>
      </c>
      <c r="E1368" s="2" t="s">
        <v>77</v>
      </c>
    </row>
    <row r="1369">
      <c r="A1369" s="2" t="s">
        <v>614</v>
      </c>
      <c r="B1369" s="2" t="s">
        <v>408</v>
      </c>
      <c r="C1369" s="2" t="s">
        <v>1779</v>
      </c>
      <c r="D1369" s="3" t="str">
        <f>HYPERLINK("https://12go.asia/en/travel/huanglong-jiuzhai/chengdu-west", "12Go Link")</f>
        <v>12Go Link</v>
      </c>
      <c r="E1369" s="2" t="s">
        <v>77</v>
      </c>
    </row>
    <row r="1370">
      <c r="A1370" s="2" t="s">
        <v>614</v>
      </c>
      <c r="B1370" s="2" t="s">
        <v>467</v>
      </c>
      <c r="C1370" s="2" t="s">
        <v>1780</v>
      </c>
      <c r="D1370" s="3" t="str">
        <f>HYPERLINK("https://12go.asia/en/travel/songpan/wenjiang", "12Go Link")</f>
        <v>12Go Link</v>
      </c>
      <c r="E1370" s="2" t="s">
        <v>77</v>
      </c>
    </row>
    <row r="1371">
      <c r="A1371" s="2" t="s">
        <v>654</v>
      </c>
      <c r="B1371" s="2" t="s">
        <v>642</v>
      </c>
      <c r="C1371" s="2" t="s">
        <v>1781</v>
      </c>
      <c r="D1371" s="3" t="str">
        <f>HYPERLINK("https://12go.asia/en/travel/songyuan/dalian", "12Go Link")</f>
        <v>12Go Link</v>
      </c>
      <c r="E1371" s="2" t="s">
        <v>77</v>
      </c>
    </row>
    <row r="1372">
      <c r="A1372" s="2" t="s">
        <v>1782</v>
      </c>
      <c r="B1372" s="2" t="s">
        <v>538</v>
      </c>
      <c r="C1372" s="2" t="s">
        <v>1783</v>
      </c>
      <c r="D1372" s="3" t="str">
        <f>HYPERLINK("https://12go.asia/en/travel/suifenhe/harbin-east", "12Go Link")</f>
        <v>12Go Link</v>
      </c>
      <c r="E1372" s="2" t="s">
        <v>77</v>
      </c>
    </row>
    <row r="1373">
      <c r="A1373" s="2" t="s">
        <v>1782</v>
      </c>
      <c r="B1373" s="2" t="s">
        <v>376</v>
      </c>
      <c r="C1373" s="2" t="s">
        <v>1784</v>
      </c>
      <c r="D1373" s="3" t="str">
        <f>HYPERLINK("https://12go.asia/en/travel/suifenhe/heilongjiang", "12Go Link")</f>
        <v>12Go Link</v>
      </c>
      <c r="E1373" s="2" t="s">
        <v>77</v>
      </c>
    </row>
    <row r="1374">
      <c r="A1374" s="2" t="s">
        <v>1782</v>
      </c>
      <c r="B1374" s="2" t="s">
        <v>378</v>
      </c>
      <c r="C1374" s="2" t="s">
        <v>1785</v>
      </c>
      <c r="D1374" s="3" t="str">
        <f>HYPERLINK("https://12go.asia/en/travel/suifenhe/xunxian", "12Go Link")</f>
        <v>12Go Link</v>
      </c>
      <c r="E1374" s="2" t="s">
        <v>77</v>
      </c>
    </row>
    <row r="1375">
      <c r="A1375" s="2" t="s">
        <v>656</v>
      </c>
      <c r="B1375" s="2" t="s">
        <v>491</v>
      </c>
      <c r="C1375" s="2" t="s">
        <v>1786</v>
      </c>
      <c r="D1375" s="3" t="str">
        <f>HYPERLINK("https://12go.asia/en/travel/suihua/beijing", "12Go Link")</f>
        <v>12Go Link</v>
      </c>
      <c r="E1375" s="2" t="s">
        <v>77</v>
      </c>
    </row>
    <row r="1376">
      <c r="A1376" s="2" t="s">
        <v>656</v>
      </c>
      <c r="B1376" s="2" t="s">
        <v>491</v>
      </c>
      <c r="C1376" s="2" t="s">
        <v>1787</v>
      </c>
      <c r="D1376" s="3" t="str">
        <f>HYPERLINK("https://12go.asia/en/travel/suihua/beijing-fengtai", "12Go Link")</f>
        <v>12Go Link</v>
      </c>
      <c r="E1376" s="2" t="s">
        <v>77</v>
      </c>
    </row>
    <row r="1377">
      <c r="A1377" s="2" t="s">
        <v>656</v>
      </c>
      <c r="B1377" s="2" t="s">
        <v>564</v>
      </c>
      <c r="C1377" s="2" t="s">
        <v>1788</v>
      </c>
      <c r="D1377" s="3" t="str">
        <f>HYPERLINK("https://12go.asia/en/travel/suihua/changchun", "12Go Link")</f>
        <v>12Go Link</v>
      </c>
      <c r="E1377" s="2" t="s">
        <v>77</v>
      </c>
    </row>
    <row r="1378">
      <c r="A1378" s="2" t="s">
        <v>656</v>
      </c>
      <c r="B1378" s="2" t="s">
        <v>671</v>
      </c>
      <c r="C1378" s="2" t="s">
        <v>1789</v>
      </c>
      <c r="D1378" s="3" t="str">
        <f>HYPERLINK("https://12go.asia/en/travel/suihua/daqing", "12Go Link")</f>
        <v>12Go Link</v>
      </c>
      <c r="E1378" s="2" t="s">
        <v>77</v>
      </c>
    </row>
    <row r="1379">
      <c r="A1379" s="2" t="s">
        <v>656</v>
      </c>
      <c r="B1379" s="2" t="s">
        <v>671</v>
      </c>
      <c r="C1379" s="2" t="s">
        <v>1790</v>
      </c>
      <c r="D1379" s="3" t="str">
        <f>HYPERLINK("https://12go.asia/en/travel/suihua/daqing-east", "12Go Link")</f>
        <v>12Go Link</v>
      </c>
      <c r="E1379" s="2" t="s">
        <v>77</v>
      </c>
    </row>
    <row r="1380">
      <c r="A1380" s="2" t="s">
        <v>656</v>
      </c>
      <c r="B1380" s="2" t="s">
        <v>678</v>
      </c>
      <c r="C1380" s="2" t="s">
        <v>1791</v>
      </c>
      <c r="D1380" s="3" t="str">
        <f>HYPERLINK("https://12go.asia/en/travel/suihua/qiqihar", "12Go Link")</f>
        <v>12Go Link</v>
      </c>
      <c r="E1380" s="2" t="s">
        <v>77</v>
      </c>
    </row>
    <row r="1381">
      <c r="A1381" s="2" t="s">
        <v>656</v>
      </c>
      <c r="B1381" s="2" t="s">
        <v>603</v>
      </c>
      <c r="C1381" s="2" t="s">
        <v>1792</v>
      </c>
      <c r="D1381" s="3" t="str">
        <f>HYPERLINK("https://12go.asia/en/travel/suihua/shenyang", "12Go Link")</f>
        <v>12Go Link</v>
      </c>
      <c r="E1381" s="2" t="s">
        <v>77</v>
      </c>
    </row>
    <row r="1382">
      <c r="A1382" s="2" t="s">
        <v>656</v>
      </c>
      <c r="B1382" s="2" t="s">
        <v>603</v>
      </c>
      <c r="C1382" s="2" t="s">
        <v>1793</v>
      </c>
      <c r="D1382" s="3" t="str">
        <f>HYPERLINK("https://12go.asia/en/travel/suihua/shenyang-north", "12Go Link")</f>
        <v>12Go Link</v>
      </c>
      <c r="E1382" s="2" t="s">
        <v>77</v>
      </c>
    </row>
    <row r="1383">
      <c r="A1383" s="2" t="s">
        <v>656</v>
      </c>
      <c r="B1383" s="2" t="s">
        <v>1748</v>
      </c>
      <c r="C1383" s="2" t="s">
        <v>1794</v>
      </c>
      <c r="D1383" s="3" t="str">
        <f>HYPERLINK("https://12go.asia/en/travel/suihua/siping", "12Go Link")</f>
        <v>12Go Link</v>
      </c>
      <c r="E1383" s="2" t="s">
        <v>77</v>
      </c>
    </row>
    <row r="1384">
      <c r="A1384" s="2" t="s">
        <v>656</v>
      </c>
      <c r="B1384" s="2" t="s">
        <v>378</v>
      </c>
      <c r="C1384" s="2" t="s">
        <v>1795</v>
      </c>
      <c r="D1384" s="3" t="str">
        <f>HYPERLINK("https://12go.asia/en/travel/suihua/xunxian", "12Go Link")</f>
        <v>12Go Link</v>
      </c>
      <c r="E1384" s="2" t="s">
        <v>77</v>
      </c>
    </row>
    <row r="1385">
      <c r="A1385" s="2" t="s">
        <v>814</v>
      </c>
      <c r="B1385" s="2" t="s">
        <v>1796</v>
      </c>
      <c r="C1385" s="2" t="s">
        <v>1797</v>
      </c>
      <c r="D1385" s="3" t="str">
        <f>HYPERLINK("https://12go.asia/en/travel/suzhou/chengyang", "12Go Link")</f>
        <v>12Go Link</v>
      </c>
      <c r="E1385" s="2" t="s">
        <v>77</v>
      </c>
    </row>
    <row r="1386">
      <c r="A1386" s="2" t="s">
        <v>814</v>
      </c>
      <c r="B1386" s="2" t="s">
        <v>683</v>
      </c>
      <c r="C1386" s="2" t="s">
        <v>1798</v>
      </c>
      <c r="D1386" s="3" t="str">
        <f>HYPERLINK("https://12go.asia/en/travel/suzhou-north/dezhou-east", "12Go Link")</f>
        <v>12Go Link</v>
      </c>
      <c r="E1386" s="2" t="s">
        <v>77</v>
      </c>
    </row>
    <row r="1387">
      <c r="A1387" s="2" t="s">
        <v>814</v>
      </c>
      <c r="B1387" s="2" t="s">
        <v>683</v>
      </c>
      <c r="C1387" s="2" t="s">
        <v>1799</v>
      </c>
      <c r="D1387" s="3" t="str">
        <f>HYPERLINK("https://12go.asia/en/travel/suzhou/dezhou", "12Go Link")</f>
        <v>12Go Link</v>
      </c>
      <c r="E1387" s="2" t="s">
        <v>77</v>
      </c>
    </row>
    <row r="1388">
      <c r="A1388" s="2" t="s">
        <v>814</v>
      </c>
      <c r="B1388" s="2" t="s">
        <v>683</v>
      </c>
      <c r="C1388" s="2" t="s">
        <v>1800</v>
      </c>
      <c r="D1388" s="3" t="str">
        <f>HYPERLINK("https://12go.asia/en/travel/suzhou/dezhou-east", "12Go Link")</f>
        <v>12Go Link</v>
      </c>
      <c r="E1388" s="2" t="s">
        <v>77</v>
      </c>
    </row>
    <row r="1389">
      <c r="A1389" s="2" t="s">
        <v>814</v>
      </c>
      <c r="B1389" s="2" t="s">
        <v>746</v>
      </c>
      <c r="C1389" s="2" t="s">
        <v>1801</v>
      </c>
      <c r="D1389" s="3" t="str">
        <f>HYPERLINK("https://12go.asia/en/travel/suzhou/hangzhou-west", "12Go Link")</f>
        <v>12Go Link</v>
      </c>
      <c r="E1389" s="2" t="s">
        <v>77</v>
      </c>
    </row>
    <row r="1390">
      <c r="A1390" s="2" t="s">
        <v>814</v>
      </c>
      <c r="B1390" s="2" t="s">
        <v>450</v>
      </c>
      <c r="C1390" s="2" t="s">
        <v>1802</v>
      </c>
      <c r="D1390" s="3" t="str">
        <f>HYPERLINK("https://12go.asia/en/travel/suzhou/jiangning", "12Go Link")</f>
        <v>12Go Link</v>
      </c>
      <c r="E1390" s="2" t="s">
        <v>77</v>
      </c>
    </row>
    <row r="1391">
      <c r="A1391" s="2" t="s">
        <v>814</v>
      </c>
      <c r="B1391" s="2" t="s">
        <v>450</v>
      </c>
      <c r="C1391" s="2" t="s">
        <v>1803</v>
      </c>
      <c r="D1391" s="3" t="str">
        <f>HYPERLINK("https://12go.asia/en/travel/suzhou/jiangning-west", "12Go Link")</f>
        <v>12Go Link</v>
      </c>
      <c r="E1391" s="2" t="s">
        <v>77</v>
      </c>
    </row>
    <row r="1392">
      <c r="A1392" s="2" t="s">
        <v>814</v>
      </c>
      <c r="B1392" s="2" t="s">
        <v>669</v>
      </c>
      <c r="C1392" s="2" t="s">
        <v>1804</v>
      </c>
      <c r="D1392" s="3" t="str">
        <f>HYPERLINK("https://12go.asia/en/travel/suzhou-north/jilin", "12Go Link")</f>
        <v>12Go Link</v>
      </c>
      <c r="E1392" s="2" t="s">
        <v>77</v>
      </c>
    </row>
    <row r="1393">
      <c r="A1393" s="2" t="s">
        <v>814</v>
      </c>
      <c r="B1393" s="2" t="s">
        <v>669</v>
      </c>
      <c r="C1393" s="2" t="s">
        <v>1805</v>
      </c>
      <c r="D1393" s="3" t="str">
        <f>HYPERLINK("https://12go.asia/en/travel/suzhou/jilin", "12Go Link")</f>
        <v>12Go Link</v>
      </c>
      <c r="E1393" s="2" t="s">
        <v>77</v>
      </c>
    </row>
    <row r="1394">
      <c r="A1394" s="2" t="s">
        <v>814</v>
      </c>
      <c r="B1394" s="2" t="s">
        <v>1563</v>
      </c>
      <c r="C1394" s="2" t="s">
        <v>1806</v>
      </c>
      <c r="D1394" s="3" t="str">
        <f>HYPERLINK("https://12go.asia/en/travel/suzhou-north/mianyang", "12Go Link")</f>
        <v>12Go Link</v>
      </c>
      <c r="E1394" s="2" t="s">
        <v>77</v>
      </c>
    </row>
    <row r="1395">
      <c r="A1395" s="2" t="s">
        <v>814</v>
      </c>
      <c r="B1395" s="2" t="s">
        <v>1563</v>
      </c>
      <c r="C1395" s="2" t="s">
        <v>1807</v>
      </c>
      <c r="D1395" s="3" t="str">
        <f>HYPERLINK("https://12go.asia/en/travel/suzhou/mianyang", "12Go Link")</f>
        <v>12Go Link</v>
      </c>
      <c r="E1395" s="2" t="s">
        <v>77</v>
      </c>
    </row>
    <row r="1396">
      <c r="A1396" s="2" t="s">
        <v>814</v>
      </c>
      <c r="B1396" s="2" t="s">
        <v>482</v>
      </c>
      <c r="C1396" s="2" t="s">
        <v>1808</v>
      </c>
      <c r="D1396" s="3" t="str">
        <f>HYPERLINK("https://12go.asia/en/travel/suzhou/mingxi", "12Go Link")</f>
        <v>12Go Link</v>
      </c>
      <c r="E1396" s="2" t="s">
        <v>77</v>
      </c>
    </row>
    <row r="1397">
      <c r="A1397" s="2" t="s">
        <v>814</v>
      </c>
      <c r="B1397" s="2" t="s">
        <v>1174</v>
      </c>
      <c r="C1397" s="2" t="s">
        <v>1809</v>
      </c>
      <c r="D1397" s="3" t="str">
        <f>HYPERLINK("https://12go.asia/en/travel/suzhou-north/panjin", "12Go Link")</f>
        <v>12Go Link</v>
      </c>
      <c r="E1397" s="2" t="s">
        <v>77</v>
      </c>
    </row>
    <row r="1398">
      <c r="A1398" s="2" t="s">
        <v>814</v>
      </c>
      <c r="B1398" s="2" t="s">
        <v>1174</v>
      </c>
      <c r="C1398" s="2" t="s">
        <v>1810</v>
      </c>
      <c r="D1398" s="3" t="str">
        <f>HYPERLINK("https://12go.asia/en/travel/suzhou/panjin", "12Go Link")</f>
        <v>12Go Link</v>
      </c>
      <c r="E1398" s="2" t="s">
        <v>77</v>
      </c>
    </row>
    <row r="1399">
      <c r="A1399" s="2" t="s">
        <v>814</v>
      </c>
      <c r="B1399" s="2" t="s">
        <v>381</v>
      </c>
      <c r="C1399" s="2" t="s">
        <v>1811</v>
      </c>
      <c r="D1399" s="3" t="str">
        <f>HYPERLINK("https://12go.asia/en/travel/suzhou/pujiangzhen", "12Go Link")</f>
        <v>12Go Link</v>
      </c>
      <c r="E1399" s="2" t="s">
        <v>77</v>
      </c>
    </row>
    <row r="1400">
      <c r="A1400" s="2" t="s">
        <v>814</v>
      </c>
      <c r="B1400" s="2" t="s">
        <v>459</v>
      </c>
      <c r="C1400" s="2" t="s">
        <v>1812</v>
      </c>
      <c r="D1400" s="3" t="str">
        <f>HYPERLINK("https://12go.asia/en/travel/suzhou-north/shanghai-west", "12Go Link")</f>
        <v>12Go Link</v>
      </c>
      <c r="E1400" s="2" t="s">
        <v>77</v>
      </c>
    </row>
    <row r="1401">
      <c r="A1401" s="2" t="s">
        <v>814</v>
      </c>
      <c r="B1401" s="2" t="s">
        <v>1813</v>
      </c>
      <c r="C1401" s="2" t="s">
        <v>1814</v>
      </c>
      <c r="D1401" s="3" t="str">
        <f>HYPERLINK("https://12go.asia/en/travel/suzhou-north/shaoshan-south", "12Go Link")</f>
        <v>12Go Link</v>
      </c>
      <c r="E1401" s="2" t="s">
        <v>77</v>
      </c>
    </row>
    <row r="1402">
      <c r="A1402" s="2" t="s">
        <v>814</v>
      </c>
      <c r="B1402" s="2" t="s">
        <v>1813</v>
      </c>
      <c r="C1402" s="2" t="s">
        <v>1815</v>
      </c>
      <c r="D1402" s="3" t="str">
        <f>HYPERLINK("https://12go.asia/en/travel/suzhou/shaoshan", "12Go Link")</f>
        <v>12Go Link</v>
      </c>
      <c r="E1402" s="2" t="s">
        <v>77</v>
      </c>
    </row>
    <row r="1403">
      <c r="A1403" s="2" t="s">
        <v>388</v>
      </c>
      <c r="B1403" s="2" t="s">
        <v>535</v>
      </c>
      <c r="C1403" s="2" t="s">
        <v>1816</v>
      </c>
      <c r="D1403" s="3" t="str">
        <f>HYPERLINK("https://12go.asia/en/travel/tacheng/beijing-airport", "12Go Link")</f>
        <v>12Go Link</v>
      </c>
      <c r="E1403" s="2" t="s">
        <v>77</v>
      </c>
    </row>
    <row r="1404">
      <c r="A1404" s="2" t="s">
        <v>388</v>
      </c>
      <c r="B1404" s="2" t="s">
        <v>822</v>
      </c>
      <c r="C1404" s="2" t="s">
        <v>1817</v>
      </c>
      <c r="D1404" s="3" t="str">
        <f>HYPERLINK("https://12go.asia/en/travel/beijing-chaoyang/benxi", "12Go Link")</f>
        <v>12Go Link</v>
      </c>
      <c r="E1404" s="2" t="s">
        <v>77</v>
      </c>
    </row>
    <row r="1405">
      <c r="A1405" s="2" t="s">
        <v>388</v>
      </c>
      <c r="B1405" s="2" t="s">
        <v>822</v>
      </c>
      <c r="C1405" s="2" t="s">
        <v>1818</v>
      </c>
      <c r="D1405" s="3" t="str">
        <f>HYPERLINK("https://12go.asia/en/travel/tacheng/benxi", "12Go Link")</f>
        <v>12Go Link</v>
      </c>
      <c r="E1405" s="2" t="s">
        <v>77</v>
      </c>
    </row>
    <row r="1406">
      <c r="A1406" s="2" t="s">
        <v>388</v>
      </c>
      <c r="B1406" s="2" t="s">
        <v>442</v>
      </c>
      <c r="C1406" s="2" t="s">
        <v>1819</v>
      </c>
      <c r="D1406" s="3" t="str">
        <f>HYPERLINK("https://12go.asia/en/travel/tacheng/cangzhou", "12Go Link")</f>
        <v>12Go Link</v>
      </c>
      <c r="E1406" s="2" t="s">
        <v>77</v>
      </c>
    </row>
    <row r="1407">
      <c r="A1407" s="2" t="s">
        <v>388</v>
      </c>
      <c r="B1407" s="2" t="s">
        <v>564</v>
      </c>
      <c r="C1407" s="2" t="s">
        <v>1820</v>
      </c>
      <c r="D1407" s="3" t="str">
        <f>HYPERLINK("https://12go.asia/en/travel/beijing-chaoyang/changchun", "12Go Link")</f>
        <v>12Go Link</v>
      </c>
      <c r="E1407" s="2" t="s">
        <v>77</v>
      </c>
    </row>
    <row r="1408">
      <c r="A1408" s="2" t="s">
        <v>388</v>
      </c>
      <c r="B1408" s="2" t="s">
        <v>564</v>
      </c>
      <c r="C1408" s="2" t="s">
        <v>1821</v>
      </c>
      <c r="D1408" s="3" t="str">
        <f>HYPERLINK("https://12go.asia/en/travel/beijing-chaoyang/changchun-west", "12Go Link")</f>
        <v>12Go Link</v>
      </c>
      <c r="E1408" s="2" t="s">
        <v>77</v>
      </c>
    </row>
    <row r="1409">
      <c r="A1409" s="2" t="s">
        <v>388</v>
      </c>
      <c r="B1409" s="2" t="s">
        <v>564</v>
      </c>
      <c r="C1409" s="2" t="s">
        <v>1822</v>
      </c>
      <c r="D1409" s="3" t="str">
        <f>HYPERLINK("https://12go.asia/en/travel/tacheng/changchun", "12Go Link")</f>
        <v>12Go Link</v>
      </c>
      <c r="E1409" s="2" t="s">
        <v>77</v>
      </c>
    </row>
    <row r="1410">
      <c r="A1410" s="2" t="s">
        <v>388</v>
      </c>
      <c r="B1410" s="2" t="s">
        <v>408</v>
      </c>
      <c r="C1410" s="2" t="s">
        <v>1823</v>
      </c>
      <c r="D1410" s="3" t="str">
        <f>HYPERLINK("https://12go.asia/en/travel/beijing-chaoyang/chengdexian-north", "12Go Link")</f>
        <v>12Go Link</v>
      </c>
      <c r="E1410" s="2" t="s">
        <v>77</v>
      </c>
    </row>
    <row r="1411">
      <c r="A1411" s="2" t="s">
        <v>388</v>
      </c>
      <c r="B1411" s="2" t="s">
        <v>408</v>
      </c>
      <c r="C1411" s="2" t="s">
        <v>1824</v>
      </c>
      <c r="D1411" s="3" t="str">
        <f>HYPERLINK("https://12go.asia/en/travel/tacheng/chengdu", "12Go Link")</f>
        <v>12Go Link</v>
      </c>
      <c r="E1411" s="2" t="s">
        <v>77</v>
      </c>
    </row>
    <row r="1412">
      <c r="A1412" s="2" t="s">
        <v>388</v>
      </c>
      <c r="B1412" s="2" t="s">
        <v>827</v>
      </c>
      <c r="C1412" s="2" t="s">
        <v>1825</v>
      </c>
      <c r="D1412" s="3" t="str">
        <f>HYPERLINK("https://12go.asia/en/travel/beijing-chaoyang/chifeng", "12Go Link")</f>
        <v>12Go Link</v>
      </c>
      <c r="E1412" s="2" t="s">
        <v>77</v>
      </c>
    </row>
    <row r="1413">
      <c r="A1413" s="2" t="s">
        <v>388</v>
      </c>
      <c r="B1413" s="2" t="s">
        <v>827</v>
      </c>
      <c r="C1413" s="2" t="s">
        <v>1826</v>
      </c>
      <c r="D1413" s="3" t="str">
        <f>HYPERLINK("https://12go.asia/en/travel/tacheng/chifeng", "12Go Link")</f>
        <v>12Go Link</v>
      </c>
      <c r="E1413" s="2" t="s">
        <v>77</v>
      </c>
    </row>
    <row r="1414">
      <c r="A1414" s="2" t="s">
        <v>388</v>
      </c>
      <c r="B1414" s="2" t="s">
        <v>671</v>
      </c>
      <c r="C1414" s="2" t="s">
        <v>1827</v>
      </c>
      <c r="D1414" s="3" t="str">
        <f>HYPERLINK("https://12go.asia/en/travel/beijing-chaoyang/daqing-east", "12Go Link")</f>
        <v>12Go Link</v>
      </c>
      <c r="E1414" s="2" t="s">
        <v>77</v>
      </c>
    </row>
    <row r="1415">
      <c r="A1415" s="2" t="s">
        <v>388</v>
      </c>
      <c r="B1415" s="2" t="s">
        <v>671</v>
      </c>
      <c r="C1415" s="2" t="s">
        <v>1828</v>
      </c>
      <c r="D1415" s="3" t="str">
        <f>HYPERLINK("https://12go.asia/en/travel/tacheng/daqing", "12Go Link")</f>
        <v>12Go Link</v>
      </c>
      <c r="E1415" s="2" t="s">
        <v>77</v>
      </c>
    </row>
    <row r="1416">
      <c r="A1416" s="2" t="s">
        <v>388</v>
      </c>
      <c r="B1416" s="2" t="s">
        <v>819</v>
      </c>
      <c r="C1416" s="2" t="s">
        <v>1829</v>
      </c>
      <c r="D1416" s="3" t="str">
        <f>HYPERLINK("https://12go.asia/en/travel/beijing-chaoyang/fuxin", "12Go Link")</f>
        <v>12Go Link</v>
      </c>
      <c r="E1416" s="2" t="s">
        <v>77</v>
      </c>
    </row>
    <row r="1417">
      <c r="A1417" s="2" t="s">
        <v>388</v>
      </c>
      <c r="B1417" s="2" t="s">
        <v>819</v>
      </c>
      <c r="C1417" s="2" t="s">
        <v>1830</v>
      </c>
      <c r="D1417" s="3" t="str">
        <f>HYPERLINK("https://12go.asia/en/travel/tacheng/fuxin", "12Go Link")</f>
        <v>12Go Link</v>
      </c>
      <c r="E1417" s="2" t="s">
        <v>77</v>
      </c>
    </row>
    <row r="1418">
      <c r="A1418" s="2" t="s">
        <v>388</v>
      </c>
      <c r="B1418" s="2" t="s">
        <v>645</v>
      </c>
      <c r="C1418" s="2" t="s">
        <v>1831</v>
      </c>
      <c r="D1418" s="3" t="str">
        <f>HYPERLINK("https://12go.asia/en/travel/tacheng/hebei", "12Go Link")</f>
        <v>12Go Link</v>
      </c>
      <c r="E1418" s="2" t="s">
        <v>77</v>
      </c>
    </row>
    <row r="1419">
      <c r="A1419" s="2" t="s">
        <v>388</v>
      </c>
      <c r="B1419" s="2" t="s">
        <v>376</v>
      </c>
      <c r="C1419" s="2" t="s">
        <v>1832</v>
      </c>
      <c r="D1419" s="3" t="str">
        <f>HYPERLINK("https://12go.asia/en/travel/tacheng/heilongjiang", "12Go Link")</f>
        <v>12Go Link</v>
      </c>
      <c r="E1419" s="2" t="s">
        <v>77</v>
      </c>
    </row>
    <row r="1420">
      <c r="A1420" s="2" t="s">
        <v>388</v>
      </c>
      <c r="B1420" s="2" t="s">
        <v>501</v>
      </c>
      <c r="C1420" s="2" t="s">
        <v>1833</v>
      </c>
      <c r="D1420" s="3" t="str">
        <f>HYPERLINK("https://12go.asia/en/travel/beijing-chaoyang/hunchun", "12Go Link")</f>
        <v>12Go Link</v>
      </c>
      <c r="E1420" s="2" t="s">
        <v>77</v>
      </c>
    </row>
    <row r="1421">
      <c r="A1421" s="2" t="s">
        <v>388</v>
      </c>
      <c r="B1421" s="2" t="s">
        <v>501</v>
      </c>
      <c r="C1421" s="2" t="s">
        <v>1834</v>
      </c>
      <c r="D1421" s="3" t="str">
        <f>HYPERLINK("https://12go.asia/en/travel/tacheng/hunchun", "12Go Link")</f>
        <v>12Go Link</v>
      </c>
      <c r="E1421" s="2" t="s">
        <v>77</v>
      </c>
    </row>
    <row r="1422">
      <c r="A1422" s="2" t="s">
        <v>388</v>
      </c>
      <c r="B1422" s="2" t="s">
        <v>672</v>
      </c>
      <c r="C1422" s="2" t="s">
        <v>1835</v>
      </c>
      <c r="D1422" s="3" t="str">
        <f>HYPERLINK("https://12go.asia/en/travel/beijing-chaoyang/jiamusi", "12Go Link")</f>
        <v>12Go Link</v>
      </c>
      <c r="E1422" s="2" t="s">
        <v>77</v>
      </c>
    </row>
    <row r="1423">
      <c r="A1423" s="2" t="s">
        <v>388</v>
      </c>
      <c r="B1423" s="2" t="s">
        <v>672</v>
      </c>
      <c r="C1423" s="2" t="s">
        <v>1836</v>
      </c>
      <c r="D1423" s="3" t="str">
        <f>HYPERLINK("https://12go.asia/en/travel/tacheng/jiamusi", "12Go Link")</f>
        <v>12Go Link</v>
      </c>
      <c r="E1423" s="2" t="s">
        <v>77</v>
      </c>
    </row>
    <row r="1424">
      <c r="A1424" s="2" t="s">
        <v>388</v>
      </c>
      <c r="B1424" s="2" t="s">
        <v>669</v>
      </c>
      <c r="C1424" s="2" t="s">
        <v>1837</v>
      </c>
      <c r="D1424" s="3" t="str">
        <f>HYPERLINK("https://12go.asia/en/travel/beijing-chaoyang/jilin", "12Go Link")</f>
        <v>12Go Link</v>
      </c>
      <c r="E1424" s="2" t="s">
        <v>77</v>
      </c>
    </row>
    <row r="1425">
      <c r="A1425" s="2" t="s">
        <v>388</v>
      </c>
      <c r="B1425" s="2" t="s">
        <v>669</v>
      </c>
      <c r="C1425" s="2" t="s">
        <v>1838</v>
      </c>
      <c r="D1425" s="3" t="str">
        <f>HYPERLINK("https://12go.asia/en/travel/tacheng/jilin", "12Go Link")</f>
        <v>12Go Link</v>
      </c>
      <c r="E1425" s="2" t="s">
        <v>77</v>
      </c>
    </row>
    <row r="1426">
      <c r="A1426" s="2" t="s">
        <v>388</v>
      </c>
      <c r="B1426" s="2" t="s">
        <v>1205</v>
      </c>
      <c r="C1426" s="2" t="s">
        <v>1839</v>
      </c>
      <c r="D1426" s="3" t="str">
        <f>HYPERLINK("https://12go.asia/en/travel/beijing-chaoyang/jinzhou-north", "12Go Link")</f>
        <v>12Go Link</v>
      </c>
      <c r="E1426" s="2" t="s">
        <v>77</v>
      </c>
    </row>
    <row r="1427">
      <c r="A1427" s="2" t="s">
        <v>388</v>
      </c>
      <c r="B1427" s="2" t="s">
        <v>1205</v>
      </c>
      <c r="C1427" s="2" t="s">
        <v>1840</v>
      </c>
      <c r="D1427" s="3" t="str">
        <f>HYPERLINK("https://12go.asia/en/travel/tacheng/jinzhou", "12Go Link")</f>
        <v>12Go Link</v>
      </c>
      <c r="E1427" s="2" t="s">
        <v>77</v>
      </c>
    </row>
    <row r="1428">
      <c r="A1428" s="2" t="s">
        <v>388</v>
      </c>
      <c r="B1428" s="2" t="s">
        <v>652</v>
      </c>
      <c r="C1428" s="2" t="s">
        <v>1841</v>
      </c>
      <c r="D1428" s="3" t="str">
        <f>HYPERLINK("https://12go.asia/en/travel/tacheng/liaoning", "12Go Link")</f>
        <v>12Go Link</v>
      </c>
      <c r="E1428" s="2" t="s">
        <v>77</v>
      </c>
    </row>
    <row r="1429">
      <c r="A1429" s="2" t="s">
        <v>388</v>
      </c>
      <c r="B1429" s="2" t="s">
        <v>1644</v>
      </c>
      <c r="C1429" s="2" t="s">
        <v>1842</v>
      </c>
      <c r="D1429" s="3" t="str">
        <f>HYPERLINK("https://12go.asia/en/travel/beijing-chaoyang/mudanjiang", "12Go Link")</f>
        <v>12Go Link</v>
      </c>
      <c r="E1429" s="2" t="s">
        <v>77</v>
      </c>
    </row>
    <row r="1430">
      <c r="A1430" s="2" t="s">
        <v>388</v>
      </c>
      <c r="B1430" s="2" t="s">
        <v>1644</v>
      </c>
      <c r="C1430" s="2" t="s">
        <v>1843</v>
      </c>
      <c r="D1430" s="3" t="str">
        <f>HYPERLINK("https://12go.asia/en/travel/tacheng/mudanjiang", "12Go Link")</f>
        <v>12Go Link</v>
      </c>
      <c r="E1430" s="2" t="s">
        <v>77</v>
      </c>
    </row>
    <row r="1431">
      <c r="A1431" s="2" t="s">
        <v>388</v>
      </c>
      <c r="B1431" s="2" t="s">
        <v>1174</v>
      </c>
      <c r="C1431" s="2" t="s">
        <v>1844</v>
      </c>
      <c r="D1431" s="3" t="str">
        <f>HYPERLINK("https://12go.asia/en/travel/beijing-chaoyang/panjin", "12Go Link")</f>
        <v>12Go Link</v>
      </c>
      <c r="E1431" s="2" t="s">
        <v>77</v>
      </c>
    </row>
    <row r="1432">
      <c r="A1432" s="2" t="s">
        <v>388</v>
      </c>
      <c r="B1432" s="2" t="s">
        <v>1174</v>
      </c>
      <c r="C1432" s="2" t="s">
        <v>1845</v>
      </c>
      <c r="D1432" s="3" t="str">
        <f>HYPERLINK("https://12go.asia/en/travel/tacheng/panjin", "12Go Link")</f>
        <v>12Go Link</v>
      </c>
      <c r="E1432" s="2" t="s">
        <v>77</v>
      </c>
    </row>
    <row r="1433">
      <c r="A1433" s="2" t="s">
        <v>388</v>
      </c>
      <c r="B1433" s="2" t="s">
        <v>678</v>
      </c>
      <c r="C1433" s="2" t="s">
        <v>1846</v>
      </c>
      <c r="D1433" s="3" t="str">
        <f>HYPERLINK("https://12go.asia/en/travel/beijing-chaoyang/qiqihar-south", "12Go Link")</f>
        <v>12Go Link</v>
      </c>
      <c r="E1433" s="2" t="s">
        <v>77</v>
      </c>
    </row>
    <row r="1434">
      <c r="A1434" s="2" t="s">
        <v>388</v>
      </c>
      <c r="B1434" s="2" t="s">
        <v>678</v>
      </c>
      <c r="C1434" s="2" t="s">
        <v>1847</v>
      </c>
      <c r="D1434" s="3" t="str">
        <f>HYPERLINK("https://12go.asia/en/travel/tacheng/qiqihar", "12Go Link")</f>
        <v>12Go Link</v>
      </c>
      <c r="E1434" s="2" t="s">
        <v>77</v>
      </c>
    </row>
    <row r="1435">
      <c r="A1435" s="2" t="s">
        <v>388</v>
      </c>
      <c r="B1435" s="2" t="s">
        <v>603</v>
      </c>
      <c r="C1435" s="2" t="s">
        <v>1848</v>
      </c>
      <c r="D1435" s="3" t="str">
        <f>HYPERLINK("https://12go.asia/en/travel/beijing-chaoyang/shenyang-south", "12Go Link")</f>
        <v>12Go Link</v>
      </c>
      <c r="E1435" s="2" t="s">
        <v>77</v>
      </c>
    </row>
    <row r="1436">
      <c r="A1436" s="2" t="s">
        <v>388</v>
      </c>
      <c r="B1436" s="2" t="s">
        <v>486</v>
      </c>
      <c r="C1436" s="2" t="s">
        <v>1849</v>
      </c>
      <c r="D1436" s="3" t="str">
        <f>HYPERLINK("https://12go.asia/en/travel/tacheng/sichuan", "12Go Link")</f>
        <v>12Go Link</v>
      </c>
      <c r="E1436" s="2" t="s">
        <v>77</v>
      </c>
    </row>
    <row r="1437">
      <c r="A1437" s="2" t="s">
        <v>388</v>
      </c>
      <c r="B1437" s="2" t="s">
        <v>1748</v>
      </c>
      <c r="C1437" s="2" t="s">
        <v>1850</v>
      </c>
      <c r="D1437" s="3" t="str">
        <f>HYPERLINK("https://12go.asia/en/travel/beijing-chaoyang/siping-east", "12Go Link")</f>
        <v>12Go Link</v>
      </c>
      <c r="E1437" s="2" t="s">
        <v>77</v>
      </c>
    </row>
    <row r="1438">
      <c r="A1438" s="2" t="s">
        <v>388</v>
      </c>
      <c r="B1438" s="2" t="s">
        <v>1748</v>
      </c>
      <c r="C1438" s="2" t="s">
        <v>1851</v>
      </c>
      <c r="D1438" s="3" t="str">
        <f>HYPERLINK("https://12go.asia/en/travel/tacheng/siping", "12Go Link")</f>
        <v>12Go Link</v>
      </c>
      <c r="E1438" s="2" t="s">
        <v>77</v>
      </c>
    </row>
    <row r="1439">
      <c r="A1439" s="2" t="s">
        <v>388</v>
      </c>
      <c r="B1439" s="2" t="s">
        <v>1852</v>
      </c>
      <c r="C1439" s="2" t="s">
        <v>1853</v>
      </c>
      <c r="D1439" s="3" t="str">
        <f>HYPERLINK("https://12go.asia/en/travel/beijing-chaoyang/tongliao", "12Go Link")</f>
        <v>12Go Link</v>
      </c>
      <c r="E1439" s="2" t="s">
        <v>77</v>
      </c>
    </row>
    <row r="1440">
      <c r="A1440" s="2" t="s">
        <v>388</v>
      </c>
      <c r="B1440" s="2" t="s">
        <v>1852</v>
      </c>
      <c r="C1440" s="2" t="s">
        <v>1854</v>
      </c>
      <c r="D1440" s="3" t="str">
        <f>HYPERLINK("https://12go.asia/en/travel/tacheng/tongliao", "12Go Link")</f>
        <v>12Go Link</v>
      </c>
      <c r="E1440" s="2" t="s">
        <v>77</v>
      </c>
    </row>
    <row r="1441">
      <c r="A1441" s="2" t="s">
        <v>388</v>
      </c>
      <c r="B1441" s="2" t="s">
        <v>610</v>
      </c>
      <c r="C1441" s="2" t="s">
        <v>1855</v>
      </c>
      <c r="D1441" s="3" t="str">
        <f>HYPERLINK("https://12go.asia/en/travel/tacheng/sinuiju", "12Go Link")</f>
        <v>12Go Link</v>
      </c>
      <c r="E1441" s="2" t="s">
        <v>77</v>
      </c>
    </row>
    <row r="1442">
      <c r="A1442" s="2" t="s">
        <v>436</v>
      </c>
      <c r="B1442" s="2" t="s">
        <v>1856</v>
      </c>
      <c r="C1442" s="2" t="s">
        <v>1857</v>
      </c>
      <c r="D1442" s="3" t="str">
        <f>HYPERLINK("https://12go.asia/en/travel/taian/danzhou", "12Go Link")</f>
        <v>12Go Link</v>
      </c>
      <c r="E1442" s="2" t="s">
        <v>77</v>
      </c>
    </row>
    <row r="1443">
      <c r="A1443" s="2" t="s">
        <v>436</v>
      </c>
      <c r="B1443" s="2" t="s">
        <v>538</v>
      </c>
      <c r="C1443" s="2" t="s">
        <v>1858</v>
      </c>
      <c r="D1443" s="3" t="str">
        <f>HYPERLINK("https://12go.asia/en/travel/taian/harbin-west", "12Go Link")</f>
        <v>12Go Link</v>
      </c>
      <c r="E1443" s="2" t="s">
        <v>77</v>
      </c>
    </row>
    <row r="1444">
      <c r="A1444" s="2" t="s">
        <v>436</v>
      </c>
      <c r="B1444" s="2" t="s">
        <v>1679</v>
      </c>
      <c r="C1444" s="2" t="s">
        <v>1859</v>
      </c>
      <c r="D1444" s="3" t="str">
        <f>HYPERLINK("https://12go.asia/en/travel/taian/shandong", "12Go Link")</f>
        <v>12Go Link</v>
      </c>
      <c r="E1444" s="2" t="s">
        <v>77</v>
      </c>
    </row>
    <row r="1445">
      <c r="A1445" s="2" t="s">
        <v>436</v>
      </c>
      <c r="B1445" s="2" t="s">
        <v>486</v>
      </c>
      <c r="C1445" s="2" t="s">
        <v>1860</v>
      </c>
      <c r="D1445" s="3" t="str">
        <f>HYPERLINK("https://12go.asia/en/travel/taian/sichuan", "12Go Link")</f>
        <v>12Go Link</v>
      </c>
      <c r="E1445" s="2" t="s">
        <v>77</v>
      </c>
    </row>
    <row r="1446">
      <c r="A1446" s="2" t="s">
        <v>436</v>
      </c>
      <c r="B1446" s="2" t="s">
        <v>420</v>
      </c>
      <c r="C1446" s="2" t="s">
        <v>1861</v>
      </c>
      <c r="D1446" s="3" t="str">
        <f>HYPERLINK("https://12go.asia/en/travel/taian/songjiang-shanghai", "12Go Link")</f>
        <v>12Go Link</v>
      </c>
      <c r="E1446" s="2" t="s">
        <v>77</v>
      </c>
    </row>
    <row r="1447">
      <c r="A1447" s="2" t="s">
        <v>436</v>
      </c>
      <c r="B1447" s="2" t="s">
        <v>425</v>
      </c>
      <c r="C1447" s="2" t="s">
        <v>1862</v>
      </c>
      <c r="D1447" s="3" t="str">
        <f>HYPERLINK("https://12go.asia/en/travel/taian/xigu", "12Go Link")</f>
        <v>12Go Link</v>
      </c>
      <c r="E1447" s="2" t="s">
        <v>77</v>
      </c>
    </row>
    <row r="1448">
      <c r="A1448" s="2" t="s">
        <v>436</v>
      </c>
      <c r="B1448" s="2" t="s">
        <v>575</v>
      </c>
      <c r="C1448" s="2" t="s">
        <v>1863</v>
      </c>
      <c r="D1448" s="3" t="str">
        <f>HYPERLINK("https://12go.asia/en/travel/taian/zhangjiagang", "12Go Link")</f>
        <v>12Go Link</v>
      </c>
      <c r="E1448" s="2" t="s">
        <v>77</v>
      </c>
    </row>
    <row r="1449">
      <c r="A1449" s="2" t="s">
        <v>1013</v>
      </c>
      <c r="B1449" s="2" t="s">
        <v>538</v>
      </c>
      <c r="C1449" s="2" t="s">
        <v>1864</v>
      </c>
      <c r="D1449" s="3" t="str">
        <f>HYPERLINK("https://12go.asia/en/travel/taian-shandong/harbin", "12Go Link")</f>
        <v>12Go Link</v>
      </c>
      <c r="E1449" s="2" t="s">
        <v>77</v>
      </c>
    </row>
    <row r="1450">
      <c r="A1450" s="2" t="s">
        <v>1013</v>
      </c>
      <c r="B1450" s="2" t="s">
        <v>376</v>
      </c>
      <c r="C1450" s="2" t="s">
        <v>1865</v>
      </c>
      <c r="D1450" s="3" t="str">
        <f>HYPERLINK("https://12go.asia/en/travel/taian-shandong/heilongjiang", "12Go Link")</f>
        <v>12Go Link</v>
      </c>
      <c r="E1450" s="2" t="s">
        <v>77</v>
      </c>
    </row>
    <row r="1451">
      <c r="A1451" s="2" t="s">
        <v>1013</v>
      </c>
      <c r="B1451" s="2" t="s">
        <v>378</v>
      </c>
      <c r="C1451" s="2" t="s">
        <v>1866</v>
      </c>
      <c r="D1451" s="3" t="str">
        <f>HYPERLINK("https://12go.asia/en/travel/taian-shandong/xunxian", "12Go Link")</f>
        <v>12Go Link</v>
      </c>
      <c r="E1451" s="2" t="s">
        <v>77</v>
      </c>
    </row>
    <row r="1452">
      <c r="A1452" s="2" t="s">
        <v>1013</v>
      </c>
      <c r="B1452" s="2" t="s">
        <v>575</v>
      </c>
      <c r="C1452" s="2" t="s">
        <v>1867</v>
      </c>
      <c r="D1452" s="3" t="str">
        <f>HYPERLINK("https://12go.asia/en/travel/taian-shandong/zhangjiagang", "12Go Link")</f>
        <v>12Go Link</v>
      </c>
      <c r="E1452" s="2" t="s">
        <v>77</v>
      </c>
    </row>
    <row r="1453">
      <c r="A1453" s="2" t="s">
        <v>1620</v>
      </c>
      <c r="B1453" s="2" t="s">
        <v>685</v>
      </c>
      <c r="C1453" s="2" t="s">
        <v>1868</v>
      </c>
      <c r="D1453" s="3" t="str">
        <f>HYPERLINK("https://12go.asia/en/travel/taiyuan-south/funing-south", "12Go Link")</f>
        <v>12Go Link</v>
      </c>
      <c r="E1453" s="2" t="s">
        <v>77</v>
      </c>
    </row>
    <row r="1454">
      <c r="A1454" s="2" t="s">
        <v>1620</v>
      </c>
      <c r="B1454" s="2" t="s">
        <v>685</v>
      </c>
      <c r="C1454" s="2" t="s">
        <v>1869</v>
      </c>
      <c r="D1454" s="3" t="str">
        <f>HYPERLINK("https://12go.asia/en/travel/taiyuan/fusui", "12Go Link")</f>
        <v>12Go Link</v>
      </c>
      <c r="E1454" s="2" t="s">
        <v>77</v>
      </c>
    </row>
    <row r="1455">
      <c r="A1455" s="2" t="s">
        <v>1620</v>
      </c>
      <c r="B1455" s="2" t="s">
        <v>420</v>
      </c>
      <c r="C1455" s="2" t="s">
        <v>1870</v>
      </c>
      <c r="D1455" s="3" t="str">
        <f>HYPERLINK("https://12go.asia/en/travel/taiyuan-south/shanghai-songjiang", "12Go Link")</f>
        <v>12Go Link</v>
      </c>
      <c r="E1455" s="2" t="s">
        <v>77</v>
      </c>
    </row>
    <row r="1456">
      <c r="A1456" s="2" t="s">
        <v>1620</v>
      </c>
      <c r="B1456" s="2" t="s">
        <v>420</v>
      </c>
      <c r="C1456" s="2" t="s">
        <v>1871</v>
      </c>
      <c r="D1456" s="3" t="str">
        <f>HYPERLINK("https://12go.asia/en/travel/taiyuan/songjiang-shanghai", "12Go Link")</f>
        <v>12Go Link</v>
      </c>
      <c r="E1456" s="2" t="s">
        <v>77</v>
      </c>
    </row>
    <row r="1457">
      <c r="A1457" s="2" t="s">
        <v>1620</v>
      </c>
      <c r="B1457" s="2" t="s">
        <v>1872</v>
      </c>
      <c r="C1457" s="2" t="s">
        <v>1873</v>
      </c>
      <c r="D1457" s="3" t="str">
        <f>HYPERLINK("https://12go.asia/en/travel/taiyuan-shanxi/xinzhou-shanxi", "12Go Link")</f>
        <v>12Go Link</v>
      </c>
      <c r="E1457" s="2" t="s">
        <v>77</v>
      </c>
    </row>
    <row r="1458">
      <c r="A1458" s="2" t="s">
        <v>1620</v>
      </c>
      <c r="B1458" s="2" t="s">
        <v>1872</v>
      </c>
      <c r="C1458" s="2" t="s">
        <v>1874</v>
      </c>
      <c r="D1458" s="3" t="str">
        <f>HYPERLINK("https://12go.asia/en/travel/taiyuan/xinzhou", "12Go Link")</f>
        <v>12Go Link</v>
      </c>
      <c r="E1458" s="2" t="s">
        <v>77</v>
      </c>
    </row>
    <row r="1459">
      <c r="A1459" s="2" t="s">
        <v>1147</v>
      </c>
      <c r="B1459" s="2" t="s">
        <v>381</v>
      </c>
      <c r="C1459" s="2" t="s">
        <v>1875</v>
      </c>
      <c r="D1459" s="3" t="str">
        <f>HYPERLINK("https://12go.asia/en/travel/taizhou-jiangsu/pujiangzhen", "12Go Link")</f>
        <v>12Go Link</v>
      </c>
      <c r="E1459" s="2" t="s">
        <v>77</v>
      </c>
    </row>
    <row r="1460">
      <c r="A1460" s="2" t="s">
        <v>1147</v>
      </c>
      <c r="B1460" s="2" t="s">
        <v>420</v>
      </c>
      <c r="C1460" s="2" t="s">
        <v>1876</v>
      </c>
      <c r="D1460" s="3" t="str">
        <f>HYPERLINK("https://12go.asia/en/travel/taizhou-jiangsu/shanghai-songjiang", "12Go Link")</f>
        <v>12Go Link</v>
      </c>
      <c r="E1460" s="2" t="s">
        <v>77</v>
      </c>
    </row>
    <row r="1461">
      <c r="A1461" s="2" t="s">
        <v>1147</v>
      </c>
      <c r="B1461" s="2" t="s">
        <v>420</v>
      </c>
      <c r="C1461" s="2" t="s">
        <v>1877</v>
      </c>
      <c r="D1461" s="3" t="str">
        <f>HYPERLINK("https://12go.asia/en/travel/taizhou-jiangsu/songjiang-shanghai", "12Go Link")</f>
        <v>12Go Link</v>
      </c>
      <c r="E1461" s="2" t="s">
        <v>77</v>
      </c>
    </row>
    <row r="1462">
      <c r="A1462" s="2" t="s">
        <v>697</v>
      </c>
      <c r="B1462" s="2" t="s">
        <v>557</v>
      </c>
      <c r="C1462" s="2" t="s">
        <v>1878</v>
      </c>
      <c r="D1462" s="3" t="str">
        <f>HYPERLINK("https://12go.asia/en/travel/taizhou-zhejiang/boluo", "12Go Link")</f>
        <v>12Go Link</v>
      </c>
      <c r="E1462" s="2" t="s">
        <v>77</v>
      </c>
    </row>
    <row r="1463">
      <c r="A1463" s="2" t="s">
        <v>697</v>
      </c>
      <c r="B1463" s="2" t="s">
        <v>1254</v>
      </c>
      <c r="C1463" s="2" t="s">
        <v>1879</v>
      </c>
      <c r="D1463" s="3" t="str">
        <f>HYPERLINK("https://12go.asia/en/travel/taizhou-zhejiang/lanshan", "12Go Link")</f>
        <v>12Go Link</v>
      </c>
      <c r="E1463" s="2" t="s">
        <v>77</v>
      </c>
    </row>
    <row r="1464">
      <c r="A1464" s="2" t="s">
        <v>697</v>
      </c>
      <c r="B1464" s="2" t="s">
        <v>1880</v>
      </c>
      <c r="C1464" s="2" t="s">
        <v>1881</v>
      </c>
      <c r="D1464" s="3" t="str">
        <f>HYPERLINK("https://12go.asia/en/travel/taizhou-zhejiang/luoyuan-county", "12Go Link")</f>
        <v>12Go Link</v>
      </c>
      <c r="E1464" s="2" t="s">
        <v>77</v>
      </c>
    </row>
    <row r="1465">
      <c r="A1465" s="2" t="s">
        <v>697</v>
      </c>
      <c r="B1465" s="2" t="s">
        <v>1880</v>
      </c>
      <c r="C1465" s="2" t="s">
        <v>1882</v>
      </c>
      <c r="D1465" s="3" t="str">
        <f>HYPERLINK("https://12go.asia/en/travel/taizhou/luoyuan", "12Go Link")</f>
        <v>12Go Link</v>
      </c>
      <c r="E1465" s="2" t="s">
        <v>77</v>
      </c>
    </row>
    <row r="1466">
      <c r="A1466" s="2" t="s">
        <v>697</v>
      </c>
      <c r="B1466" s="2" t="s">
        <v>982</v>
      </c>
      <c r="C1466" s="2" t="s">
        <v>1883</v>
      </c>
      <c r="D1466" s="3" t="str">
        <f>HYPERLINK("https://12go.asia/en/travel/taizhou-zhejiang/ningde", "12Go Link")</f>
        <v>12Go Link</v>
      </c>
      <c r="E1466" s="2" t="s">
        <v>77</v>
      </c>
    </row>
    <row r="1467">
      <c r="A1467" s="2" t="s">
        <v>697</v>
      </c>
      <c r="B1467" s="2" t="s">
        <v>982</v>
      </c>
      <c r="C1467" s="2" t="s">
        <v>1884</v>
      </c>
      <c r="D1467" s="3" t="str">
        <f>HYPERLINK("https://12go.asia/en/travel/taizhou/ningde", "12Go Link")</f>
        <v>12Go Link</v>
      </c>
      <c r="E1467" s="2" t="s">
        <v>77</v>
      </c>
    </row>
    <row r="1468">
      <c r="A1468" s="2" t="s">
        <v>697</v>
      </c>
      <c r="B1468" s="2" t="s">
        <v>420</v>
      </c>
      <c r="C1468" s="2" t="s">
        <v>1885</v>
      </c>
      <c r="D1468" s="3" t="str">
        <f>HYPERLINK("https://12go.asia/en/travel/taizhou-zhejiang/songjiang-shanghai", "12Go Link")</f>
        <v>12Go Link</v>
      </c>
      <c r="E1468" s="2" t="s">
        <v>77</v>
      </c>
    </row>
    <row r="1469">
      <c r="A1469" s="2" t="s">
        <v>697</v>
      </c>
      <c r="B1469" s="2" t="s">
        <v>420</v>
      </c>
      <c r="C1469" s="2" t="s">
        <v>1886</v>
      </c>
      <c r="D1469" s="3" t="str">
        <f>HYPERLINK("https://12go.asia/en/travel/taizhou/shanghai-songjiang", "12Go Link")</f>
        <v>12Go Link</v>
      </c>
      <c r="E1469" s="2" t="s">
        <v>77</v>
      </c>
    </row>
    <row r="1470">
      <c r="A1470" s="2" t="s">
        <v>697</v>
      </c>
      <c r="B1470" s="2" t="s">
        <v>571</v>
      </c>
      <c r="C1470" s="2" t="s">
        <v>1887</v>
      </c>
      <c r="D1470" s="3" t="str">
        <f>HYPERLINK("https://12go.asia/en/travel/taizhou-zhejiang/wuxi-east", "12Go Link")</f>
        <v>12Go Link</v>
      </c>
      <c r="E1470" s="2" t="s">
        <v>77</v>
      </c>
    </row>
    <row r="1471">
      <c r="A1471" s="2" t="s">
        <v>1285</v>
      </c>
      <c r="B1471" s="2" t="s">
        <v>1796</v>
      </c>
      <c r="C1471" s="2" t="s">
        <v>1888</v>
      </c>
      <c r="D1471" s="3" t="str">
        <f>HYPERLINK("https://12go.asia/en/travel/tangshan/chengyang", "12Go Link")</f>
        <v>12Go Link</v>
      </c>
      <c r="E1471" s="2" t="s">
        <v>77</v>
      </c>
    </row>
    <row r="1472">
      <c r="A1472" s="2" t="s">
        <v>1285</v>
      </c>
      <c r="B1472" s="2" t="s">
        <v>1019</v>
      </c>
      <c r="C1472" s="2" t="s">
        <v>1889</v>
      </c>
      <c r="D1472" s="3" t="str">
        <f>HYPERLINK("https://12go.asia/en/travel/tangshan/heze", "12Go Link")</f>
        <v>12Go Link</v>
      </c>
      <c r="E1472" s="2" t="s">
        <v>77</v>
      </c>
    </row>
    <row r="1473">
      <c r="A1473" s="2" t="s">
        <v>1285</v>
      </c>
      <c r="B1473" s="2" t="s">
        <v>420</v>
      </c>
      <c r="C1473" s="2" t="s">
        <v>1890</v>
      </c>
      <c r="D1473" s="3" t="str">
        <f>HYPERLINK("https://12go.asia/en/travel/tangshan/shanghai-songjiang", "12Go Link")</f>
        <v>12Go Link</v>
      </c>
      <c r="E1473" s="2" t="s">
        <v>77</v>
      </c>
    </row>
    <row r="1474">
      <c r="A1474" s="2" t="s">
        <v>1285</v>
      </c>
      <c r="B1474" s="2" t="s">
        <v>420</v>
      </c>
      <c r="C1474" s="2" t="s">
        <v>1891</v>
      </c>
      <c r="D1474" s="3" t="str">
        <f>HYPERLINK("https://12go.asia/en/travel/tangshan/songjiang-shanghai", "12Go Link")</f>
        <v>12Go Link</v>
      </c>
      <c r="E1474" s="2" t="s">
        <v>77</v>
      </c>
    </row>
    <row r="1475">
      <c r="A1475" s="2" t="s">
        <v>552</v>
      </c>
      <c r="B1475" s="2" t="s">
        <v>746</v>
      </c>
      <c r="C1475" s="2" t="s">
        <v>1892</v>
      </c>
      <c r="D1475" s="3" t="str">
        <f>HYPERLINK("https://12go.asia/en/travel/tianjin-south/hangzhou-west", "12Go Link")</f>
        <v>12Go Link</v>
      </c>
      <c r="E1475" s="2" t="s">
        <v>77</v>
      </c>
    </row>
    <row r="1476">
      <c r="A1476" s="2" t="s">
        <v>552</v>
      </c>
      <c r="B1476" s="2" t="s">
        <v>461</v>
      </c>
      <c r="C1476" s="2" t="s">
        <v>1893</v>
      </c>
      <c r="D1476" s="3" t="str">
        <f>HYPERLINK("https://12go.asia/en/travel/tianjin-south/shanghai-hongqiao-airport", "12Go Link")</f>
        <v>12Go Link</v>
      </c>
      <c r="E1476" s="2" t="s">
        <v>77</v>
      </c>
    </row>
    <row r="1477">
      <c r="A1477" s="2" t="s">
        <v>552</v>
      </c>
      <c r="B1477" s="2" t="s">
        <v>1894</v>
      </c>
      <c r="C1477" s="2" t="s">
        <v>1895</v>
      </c>
      <c r="D1477" s="3" t="str">
        <f>HYPERLINK("https://12go.asia/en/travel/tianjin/jining-south-inner-mongolia", "12Go Link")</f>
        <v>12Go Link</v>
      </c>
      <c r="E1477" s="2" t="s">
        <v>77</v>
      </c>
    </row>
    <row r="1478">
      <c r="A1478" s="2" t="s">
        <v>552</v>
      </c>
      <c r="B1478" s="2" t="s">
        <v>1894</v>
      </c>
      <c r="C1478" s="2" t="s">
        <v>1896</v>
      </c>
      <c r="D1478" s="3" t="str">
        <f>HYPERLINK("https://12go.asia/en/travel/tianjin/ulanqab", "12Go Link")</f>
        <v>12Go Link</v>
      </c>
      <c r="E1478" s="2" t="s">
        <v>77</v>
      </c>
    </row>
    <row r="1479">
      <c r="A1479" s="2" t="s">
        <v>1751</v>
      </c>
      <c r="B1479" s="2" t="s">
        <v>383</v>
      </c>
      <c r="C1479" s="2" t="s">
        <v>1897</v>
      </c>
      <c r="D1479" s="3" t="str">
        <f>HYPERLINK("https://12go.asia/en/travel/tieling-west/anshan-west", "12Go Link")</f>
        <v>12Go Link</v>
      </c>
      <c r="E1479" s="2" t="s">
        <v>77</v>
      </c>
    </row>
    <row r="1480">
      <c r="A1480" s="2" t="s">
        <v>1751</v>
      </c>
      <c r="B1480" s="2" t="s">
        <v>383</v>
      </c>
      <c r="C1480" s="2" t="s">
        <v>1898</v>
      </c>
      <c r="D1480" s="3" t="str">
        <f>HYPERLINK("https://12go.asia/en/travel/tieling/anshan", "12Go Link")</f>
        <v>12Go Link</v>
      </c>
      <c r="E1480" s="2" t="s">
        <v>77</v>
      </c>
    </row>
    <row r="1481">
      <c r="A1481" s="2" t="s">
        <v>1624</v>
      </c>
      <c r="B1481" s="2" t="s">
        <v>1229</v>
      </c>
      <c r="C1481" s="2" t="s">
        <v>1899</v>
      </c>
      <c r="D1481" s="3" t="str">
        <f>HYPERLINK("https://12go.asia/en/travel/yuping/kunming", "12Go Link")</f>
        <v>12Go Link</v>
      </c>
      <c r="E1481" s="2" t="s">
        <v>77</v>
      </c>
    </row>
    <row r="1482">
      <c r="A1482" s="2" t="s">
        <v>786</v>
      </c>
      <c r="B1482" s="2" t="s">
        <v>408</v>
      </c>
      <c r="C1482" s="2" t="s">
        <v>1900</v>
      </c>
      <c r="D1482" s="3" t="str">
        <f>HYPERLINK("https://12go.asia/en/travel/shenfang-west/chengdu-east", "12Go Link")</f>
        <v>12Go Link</v>
      </c>
      <c r="E1482" s="2" t="s">
        <v>77</v>
      </c>
    </row>
    <row r="1483">
      <c r="A1483" s="2" t="s">
        <v>786</v>
      </c>
      <c r="B1483" s="2" t="s">
        <v>493</v>
      </c>
      <c r="C1483" s="2" t="s">
        <v>1901</v>
      </c>
      <c r="D1483" s="3" t="str">
        <f>HYPERLINK("https://12go.asia/en/travel/shenfang-west/shuangliu-airport", "12Go Link")</f>
        <v>12Go Link</v>
      </c>
      <c r="E1483" s="2" t="s">
        <v>77</v>
      </c>
    </row>
    <row r="1484">
      <c r="A1484" s="2" t="s">
        <v>786</v>
      </c>
      <c r="B1484" s="2" t="s">
        <v>713</v>
      </c>
      <c r="C1484" s="2" t="s">
        <v>1902</v>
      </c>
      <c r="D1484" s="3" t="str">
        <f>HYPERLINK("https://12go.asia/en/travel/pingyang/guangzhou-east", "12Go Link")</f>
        <v>12Go Link</v>
      </c>
      <c r="E1484" s="2" t="s">
        <v>77</v>
      </c>
    </row>
    <row r="1485">
      <c r="A1485" s="2" t="s">
        <v>786</v>
      </c>
      <c r="B1485" s="2" t="s">
        <v>474</v>
      </c>
      <c r="C1485" s="2" t="s">
        <v>1903</v>
      </c>
      <c r="D1485" s="3" t="str">
        <f>HYPERLINK("https://12go.asia/en/travel/pingyang/yandangshan", "12Go Link")</f>
        <v>12Go Link</v>
      </c>
      <c r="E1485" s="2" t="s">
        <v>77</v>
      </c>
    </row>
    <row r="1486">
      <c r="A1486" s="2" t="s">
        <v>786</v>
      </c>
      <c r="B1486" s="2" t="s">
        <v>474</v>
      </c>
      <c r="C1486" s="2" t="s">
        <v>1904</v>
      </c>
      <c r="D1486" s="3" t="str">
        <f>HYPERLINK("https://12go.asia/en/travel/wenzhou-north/yandangshan", "12Go Link")</f>
        <v>12Go Link</v>
      </c>
      <c r="E1486" s="2" t="s">
        <v>77</v>
      </c>
    </row>
    <row r="1487">
      <c r="A1487" s="2" t="s">
        <v>786</v>
      </c>
      <c r="B1487" s="2" t="s">
        <v>474</v>
      </c>
      <c r="C1487" s="2" t="s">
        <v>1905</v>
      </c>
      <c r="D1487" s="3" t="str">
        <f>HYPERLINK("https://12go.asia/en/travel/wenzhou-south/yandangshan", "12Go Link")</f>
        <v>12Go Link</v>
      </c>
      <c r="E1487" s="2" t="s">
        <v>77</v>
      </c>
    </row>
    <row r="1488">
      <c r="A1488" s="2" t="s">
        <v>786</v>
      </c>
      <c r="B1488" s="2" t="s">
        <v>474</v>
      </c>
      <c r="C1488" s="2" t="s">
        <v>1906</v>
      </c>
      <c r="D1488" s="3" t="str">
        <f>HYPERLINK("https://12go.asia/en/travel/yueqing-east/yandangshan", "12Go Link")</f>
        <v>12Go Link</v>
      </c>
      <c r="E1488" s="2" t="s">
        <v>77</v>
      </c>
    </row>
    <row r="1489">
      <c r="A1489" s="2" t="s">
        <v>788</v>
      </c>
      <c r="B1489" s="2" t="s">
        <v>620</v>
      </c>
      <c r="C1489" s="2" t="s">
        <v>1907</v>
      </c>
      <c r="D1489" s="3" t="str">
        <f>HYPERLINK("https://12go.asia/en/travel/hankou/tianfu-airport", "12Go Link")</f>
        <v>12Go Link</v>
      </c>
      <c r="E1489" s="2" t="s">
        <v>77</v>
      </c>
    </row>
    <row r="1490">
      <c r="A1490" s="2" t="s">
        <v>788</v>
      </c>
      <c r="B1490" s="2" t="s">
        <v>620</v>
      </c>
      <c r="C1490" s="2" t="s">
        <v>1908</v>
      </c>
      <c r="D1490" s="3" t="str">
        <f>HYPERLINK("https://12go.asia/en/travel/wuhan/tianfu-airport", "12Go Link")</f>
        <v>12Go Link</v>
      </c>
      <c r="E1490" s="2" t="s">
        <v>77</v>
      </c>
    </row>
    <row r="1491">
      <c r="A1491" s="2" t="s">
        <v>788</v>
      </c>
      <c r="B1491" s="2" t="s">
        <v>1128</v>
      </c>
      <c r="C1491" s="2" t="s">
        <v>1909</v>
      </c>
      <c r="D1491" s="3" t="str">
        <f>HYPERLINK("https://12go.asia/en/travel/wuchang/datong", "12Go Link")</f>
        <v>12Go Link</v>
      </c>
      <c r="E1491" s="2" t="s">
        <v>77</v>
      </c>
    </row>
    <row r="1492">
      <c r="A1492" s="2" t="s">
        <v>788</v>
      </c>
      <c r="B1492" s="2" t="s">
        <v>1130</v>
      </c>
      <c r="C1492" s="2" t="s">
        <v>1910</v>
      </c>
      <c r="D1492" s="3" t="str">
        <f>HYPERLINK("https://12go.asia/en/travel/wuhan/changting-south", "12Go Link")</f>
        <v>12Go Link</v>
      </c>
      <c r="E1492" s="2" t="s">
        <v>77</v>
      </c>
    </row>
    <row r="1493">
      <c r="A1493" s="2" t="s">
        <v>788</v>
      </c>
      <c r="B1493" s="2" t="s">
        <v>575</v>
      </c>
      <c r="C1493" s="2" t="s">
        <v>1911</v>
      </c>
      <c r="D1493" s="3" t="str">
        <f>HYPERLINK("https://12go.asia/en/travel/hankou/zhangjiagang", "12Go Link")</f>
        <v>12Go Link</v>
      </c>
      <c r="E1493" s="2" t="s">
        <v>77</v>
      </c>
    </row>
    <row r="1494">
      <c r="A1494" s="2" t="s">
        <v>788</v>
      </c>
      <c r="B1494" s="2" t="s">
        <v>575</v>
      </c>
      <c r="C1494" s="2" t="s">
        <v>1912</v>
      </c>
      <c r="D1494" s="3" t="str">
        <f>HYPERLINK("https://12go.asia/en/travel/wuhan/zhangjiagang", "12Go Link")</f>
        <v>12Go Link</v>
      </c>
      <c r="E1494" s="2" t="s">
        <v>77</v>
      </c>
    </row>
    <row r="1495">
      <c r="A1495" s="2" t="s">
        <v>1913</v>
      </c>
      <c r="B1495" s="2" t="s">
        <v>1151</v>
      </c>
      <c r="C1495" s="2" t="s">
        <v>1914</v>
      </c>
      <c r="D1495" s="3" t="str">
        <f>HYPERLINK("https://12go.asia/en/travel/wuwei-gansu/jiayuguan-city", "12Go Link")</f>
        <v>12Go Link</v>
      </c>
      <c r="E1495" s="2" t="s">
        <v>77</v>
      </c>
    </row>
    <row r="1496">
      <c r="A1496" s="2" t="s">
        <v>1913</v>
      </c>
      <c r="B1496" s="2" t="s">
        <v>1151</v>
      </c>
      <c r="C1496" s="2" t="s">
        <v>1915</v>
      </c>
      <c r="D1496" s="3" t="str">
        <f>HYPERLINK("https://12go.asia/en/travel/wuwei-south/jiayuguan", "12Go Link")</f>
        <v>12Go Link</v>
      </c>
      <c r="E1496" s="2" t="s">
        <v>77</v>
      </c>
    </row>
    <row r="1497">
      <c r="A1497" s="2" t="s">
        <v>1913</v>
      </c>
      <c r="B1497" s="2" t="s">
        <v>1151</v>
      </c>
      <c r="C1497" s="2" t="s">
        <v>1916</v>
      </c>
      <c r="D1497" s="3" t="str">
        <f>HYPERLINK("https://12go.asia/en/travel/wuwei/jiayuguan", "12Go Link")</f>
        <v>12Go Link</v>
      </c>
      <c r="E1497" s="2" t="s">
        <v>77</v>
      </c>
    </row>
    <row r="1498">
      <c r="A1498" s="2" t="s">
        <v>571</v>
      </c>
      <c r="B1498" s="2" t="s">
        <v>459</v>
      </c>
      <c r="C1498" s="2" t="s">
        <v>1917</v>
      </c>
      <c r="D1498" s="3" t="str">
        <f>HYPERLINK("https://12go.asia/en/travel/wuxi-xinqu/shanghai-south", "12Go Link")</f>
        <v>12Go Link</v>
      </c>
      <c r="E1498" s="2" t="s">
        <v>77</v>
      </c>
    </row>
    <row r="1499">
      <c r="A1499" s="2" t="s">
        <v>571</v>
      </c>
      <c r="B1499" s="2" t="s">
        <v>697</v>
      </c>
      <c r="C1499" s="2" t="s">
        <v>1918</v>
      </c>
      <c r="D1499" s="3" t="str">
        <f>HYPERLINK("https://12go.asia/en/travel/wuxi-east/taizhou-zhejiang", "12Go Link")</f>
        <v>12Go Link</v>
      </c>
      <c r="E1499" s="2" t="s">
        <v>77</v>
      </c>
    </row>
    <row r="1500">
      <c r="A1500" s="2" t="s">
        <v>790</v>
      </c>
      <c r="B1500" s="2" t="s">
        <v>935</v>
      </c>
      <c r="C1500" s="2" t="s">
        <v>1919</v>
      </c>
      <c r="D1500" s="3" t="str">
        <f>HYPERLINK("https://12go.asia/en/travel/xiamen/ganxian-north", "12Go Link")</f>
        <v>12Go Link</v>
      </c>
      <c r="E1500" s="2" t="s">
        <v>77</v>
      </c>
    </row>
    <row r="1501">
      <c r="A1501" s="2" t="s">
        <v>790</v>
      </c>
      <c r="B1501" s="2" t="s">
        <v>951</v>
      </c>
      <c r="C1501" s="2" t="s">
        <v>1920</v>
      </c>
      <c r="D1501" s="3" t="str">
        <f>HYPERLINK("https://12go.asia/en/travel/xiamen-north/gutian-huizhi", "12Go Link")</f>
        <v>12Go Link</v>
      </c>
      <c r="E1501" s="2" t="s">
        <v>77</v>
      </c>
    </row>
    <row r="1502">
      <c r="A1502" s="2" t="s">
        <v>790</v>
      </c>
      <c r="B1502" s="2" t="s">
        <v>951</v>
      </c>
      <c r="C1502" s="2" t="s">
        <v>1921</v>
      </c>
      <c r="D1502" s="3" t="str">
        <f>HYPERLINK("https://12go.asia/en/travel/xiamen/gutian-huizhi", "12Go Link")</f>
        <v>12Go Link</v>
      </c>
      <c r="E1502" s="2" t="s">
        <v>77</v>
      </c>
    </row>
    <row r="1503">
      <c r="A1503" s="2" t="s">
        <v>469</v>
      </c>
      <c r="B1503" s="2" t="s">
        <v>491</v>
      </c>
      <c r="C1503" s="2" t="s">
        <v>1922</v>
      </c>
      <c r="D1503" s="3" t="str">
        <f>HYPERLINK("https://12go.asia/en/travel/xian-north/beijing-north", "12Go Link")</f>
        <v>12Go Link</v>
      </c>
      <c r="E1503" s="2" t="s">
        <v>77</v>
      </c>
    </row>
    <row r="1504">
      <c r="A1504" s="2" t="s">
        <v>469</v>
      </c>
      <c r="B1504" s="2" t="s">
        <v>491</v>
      </c>
      <c r="C1504" s="2" t="s">
        <v>1923</v>
      </c>
      <c r="D1504" s="3" t="str">
        <f>HYPERLINK("https://12go.asia/en/travel/xian-south/beijing-fengtai", "12Go Link")</f>
        <v>12Go Link</v>
      </c>
      <c r="E1504" s="2" t="s">
        <v>77</v>
      </c>
    </row>
    <row r="1505">
      <c r="A1505" s="2" t="s">
        <v>469</v>
      </c>
      <c r="B1505" s="2" t="s">
        <v>579</v>
      </c>
      <c r="C1505" s="2" t="s">
        <v>1924</v>
      </c>
      <c r="D1505" s="3" t="str">
        <f>HYPERLINK("https://12go.asia/en/travel/xian-north/longchang-north", "12Go Link")</f>
        <v>12Go Link</v>
      </c>
      <c r="E1505" s="2" t="s">
        <v>77</v>
      </c>
    </row>
    <row r="1506">
      <c r="A1506" s="2" t="s">
        <v>469</v>
      </c>
      <c r="B1506" s="2" t="s">
        <v>579</v>
      </c>
      <c r="C1506" s="2" t="s">
        <v>1925</v>
      </c>
      <c r="D1506" s="3" t="str">
        <f>HYPERLINK("https://12go.asia/en/travel/xian/longchang", "12Go Link")</f>
        <v>12Go Link</v>
      </c>
      <c r="E1506" s="2" t="s">
        <v>77</v>
      </c>
    </row>
    <row r="1507">
      <c r="A1507" s="2" t="s">
        <v>469</v>
      </c>
      <c r="B1507" s="2" t="s">
        <v>459</v>
      </c>
      <c r="C1507" s="2" t="s">
        <v>1926</v>
      </c>
      <c r="D1507" s="3" t="str">
        <f>HYPERLINK("https://12go.asia/en/travel/xian-north/shanghai-south", "12Go Link")</f>
        <v>12Go Link</v>
      </c>
      <c r="E1507" s="2" t="s">
        <v>77</v>
      </c>
    </row>
    <row r="1508">
      <c r="A1508" s="2" t="s">
        <v>469</v>
      </c>
      <c r="B1508" s="2" t="s">
        <v>575</v>
      </c>
      <c r="C1508" s="2" t="s">
        <v>1927</v>
      </c>
      <c r="D1508" s="3" t="str">
        <f>HYPERLINK("https://12go.asia/en/travel/xian-north/zhangjiagang", "12Go Link")</f>
        <v>12Go Link</v>
      </c>
      <c r="E1508" s="2" t="s">
        <v>77</v>
      </c>
    </row>
    <row r="1509">
      <c r="A1509" s="2" t="s">
        <v>469</v>
      </c>
      <c r="B1509" s="2" t="s">
        <v>575</v>
      </c>
      <c r="C1509" s="2" t="s">
        <v>1928</v>
      </c>
      <c r="D1509" s="3" t="str">
        <f>HYPERLINK("https://12go.asia/en/travel/xian/zhangjiagang", "12Go Link")</f>
        <v>12Go Link</v>
      </c>
      <c r="E1509" s="2" t="s">
        <v>77</v>
      </c>
    </row>
    <row r="1510">
      <c r="A1510" s="2" t="s">
        <v>427</v>
      </c>
      <c r="B1510" s="2" t="s">
        <v>564</v>
      </c>
      <c r="C1510" s="2" t="s">
        <v>1929</v>
      </c>
      <c r="D1510" s="3" t="str">
        <f>HYPERLINK("https://12go.asia/en/travel/xining/changchun", "12Go Link")</f>
        <v>12Go Link</v>
      </c>
      <c r="E1510" s="2" t="s">
        <v>77</v>
      </c>
    </row>
    <row r="1511">
      <c r="A1511" s="2" t="s">
        <v>427</v>
      </c>
      <c r="B1511" s="2" t="s">
        <v>392</v>
      </c>
      <c r="C1511" s="2" t="s">
        <v>1930</v>
      </c>
      <c r="D1511" s="3" t="str">
        <f>HYPERLINK("https://12go.asia/en/travel/xining/changzhou", "12Go Link")</f>
        <v>12Go Link</v>
      </c>
      <c r="E1511" s="2" t="s">
        <v>77</v>
      </c>
    </row>
    <row r="1512">
      <c r="A1512" s="2" t="s">
        <v>427</v>
      </c>
      <c r="B1512" s="2" t="s">
        <v>408</v>
      </c>
      <c r="C1512" s="2" t="s">
        <v>1931</v>
      </c>
      <c r="D1512" s="3" t="str">
        <f>HYPERLINK("https://12go.asia/en/travel/xining/chengdu-south", "12Go Link")</f>
        <v>12Go Link</v>
      </c>
      <c r="E1512" s="2" t="s">
        <v>77</v>
      </c>
    </row>
    <row r="1513">
      <c r="A1513" s="2" t="s">
        <v>427</v>
      </c>
      <c r="B1513" s="2" t="s">
        <v>538</v>
      </c>
      <c r="C1513" s="2" t="s">
        <v>1932</v>
      </c>
      <c r="D1513" s="3" t="str">
        <f>HYPERLINK("https://12go.asia/en/travel/xining/harbin", "12Go Link")</f>
        <v>12Go Link</v>
      </c>
      <c r="E1513" s="2" t="s">
        <v>77</v>
      </c>
    </row>
    <row r="1514">
      <c r="A1514" s="2" t="s">
        <v>427</v>
      </c>
      <c r="B1514" s="2" t="s">
        <v>434</v>
      </c>
      <c r="C1514" s="2" t="s">
        <v>1933</v>
      </c>
      <c r="D1514" s="3" t="str">
        <f>HYPERLINK("https://12go.asia/en/travel/xining/hohhot-east", "12Go Link")</f>
        <v>12Go Link</v>
      </c>
      <c r="E1514" s="2" t="s">
        <v>77</v>
      </c>
    </row>
    <row r="1515">
      <c r="A1515" s="2" t="s">
        <v>427</v>
      </c>
      <c r="B1515" s="2" t="s">
        <v>1217</v>
      </c>
      <c r="C1515" s="2" t="s">
        <v>1934</v>
      </c>
      <c r="D1515" s="3" t="str">
        <f>HYPERLINK("https://12go.asia/en/travel/xining/jiuquan-south", "12Go Link")</f>
        <v>12Go Link</v>
      </c>
      <c r="E1515" s="2" t="s">
        <v>77</v>
      </c>
    </row>
    <row r="1516">
      <c r="A1516" s="2" t="s">
        <v>427</v>
      </c>
      <c r="B1516" s="2" t="s">
        <v>1217</v>
      </c>
      <c r="C1516" s="2" t="s">
        <v>1935</v>
      </c>
      <c r="D1516" s="3" t="str">
        <f>HYPERLINK("https://12go.asia/en/travel/xining/qingshui-north", "12Go Link")</f>
        <v>12Go Link</v>
      </c>
      <c r="E1516" s="2" t="s">
        <v>77</v>
      </c>
    </row>
    <row r="1517">
      <c r="A1517" s="2" t="s">
        <v>427</v>
      </c>
      <c r="B1517" s="2" t="s">
        <v>980</v>
      </c>
      <c r="C1517" s="2" t="s">
        <v>1936</v>
      </c>
      <c r="D1517" s="3" t="str">
        <f>HYPERLINK("https://12go.asia/en/travel/xining/kaifeng", "12Go Link")</f>
        <v>12Go Link</v>
      </c>
      <c r="E1517" s="2" t="s">
        <v>77</v>
      </c>
    </row>
    <row r="1518">
      <c r="A1518" s="2" t="s">
        <v>427</v>
      </c>
      <c r="B1518" s="2" t="s">
        <v>461</v>
      </c>
      <c r="C1518" s="2" t="s">
        <v>1937</v>
      </c>
      <c r="D1518" s="3" t="str">
        <f>HYPERLINK("https://12go.asia/en/travel/xining/shanghai-hongqiao-airport", "12Go Link")</f>
        <v>12Go Link</v>
      </c>
      <c r="E1518" s="2" t="s">
        <v>77</v>
      </c>
    </row>
    <row r="1519">
      <c r="A1519" s="2" t="s">
        <v>427</v>
      </c>
      <c r="B1519" s="2" t="s">
        <v>395</v>
      </c>
      <c r="C1519" s="2" t="s">
        <v>1938</v>
      </c>
      <c r="D1519" s="3" t="str">
        <f>HYPERLINK("https://12go.asia/en/travel/xining/urumqi-south", "12Go Link")</f>
        <v>12Go Link</v>
      </c>
      <c r="E1519" s="2" t="s">
        <v>77</v>
      </c>
    </row>
    <row r="1520">
      <c r="A1520" s="2" t="s">
        <v>427</v>
      </c>
      <c r="B1520" s="2" t="s">
        <v>1437</v>
      </c>
      <c r="C1520" s="2" t="s">
        <v>1939</v>
      </c>
      <c r="D1520" s="3" t="str">
        <f>HYPERLINK("https://12go.asia/en/travel/xining/xuzhou", "12Go Link")</f>
        <v>12Go Link</v>
      </c>
      <c r="E1520" s="2" t="s">
        <v>77</v>
      </c>
    </row>
    <row r="1521">
      <c r="A1521" s="2" t="s">
        <v>1022</v>
      </c>
      <c r="B1521" s="2" t="s">
        <v>786</v>
      </c>
      <c r="C1521" s="2" t="s">
        <v>1940</v>
      </c>
      <c r="D1521" s="3" t="str">
        <f>HYPERLINK("https://12go.asia/en/travel/xinyang-east/pingyang", "12Go Link")</f>
        <v>12Go Link</v>
      </c>
      <c r="E1521" s="2" t="s">
        <v>77</v>
      </c>
    </row>
    <row r="1522">
      <c r="A1522" s="2" t="s">
        <v>1022</v>
      </c>
      <c r="B1522" s="2" t="s">
        <v>786</v>
      </c>
      <c r="C1522" s="2" t="s">
        <v>1941</v>
      </c>
      <c r="D1522" s="3" t="str">
        <f>HYPERLINK("https://12go.asia/en/travel/xinyang-east/wenzhou-south", "12Go Link")</f>
        <v>12Go Link</v>
      </c>
      <c r="E1522" s="2" t="s">
        <v>77</v>
      </c>
    </row>
    <row r="1523">
      <c r="A1523" s="2" t="s">
        <v>1022</v>
      </c>
      <c r="B1523" s="2" t="s">
        <v>786</v>
      </c>
      <c r="C1523" s="2" t="s">
        <v>1942</v>
      </c>
      <c r="D1523" s="3" t="str">
        <f>HYPERLINK("https://12go.asia/en/travel/xinyang/wenzhou", "12Go Link")</f>
        <v>12Go Link</v>
      </c>
      <c r="E1523" s="2" t="s">
        <v>77</v>
      </c>
    </row>
    <row r="1524">
      <c r="A1524" s="2" t="s">
        <v>929</v>
      </c>
      <c r="B1524" s="2" t="s">
        <v>578</v>
      </c>
      <c r="C1524" s="2" t="s">
        <v>1943</v>
      </c>
      <c r="D1524" s="3" t="str">
        <f>HYPERLINK("https://12go.asia/en/travel/xinyu-north/changsha-south", "12Go Link")</f>
        <v>12Go Link</v>
      </c>
      <c r="E1524" s="2" t="s">
        <v>77</v>
      </c>
    </row>
    <row r="1525">
      <c r="A1525" s="2" t="s">
        <v>910</v>
      </c>
      <c r="B1525" s="2" t="s">
        <v>552</v>
      </c>
      <c r="C1525" s="2" t="s">
        <v>1944</v>
      </c>
      <c r="D1525" s="3" t="str">
        <f>HYPERLINK("https://12go.asia/en/travel/xuchang-east/tianjin-west", "12Go Link")</f>
        <v>12Go Link</v>
      </c>
      <c r="E1525" s="2" t="s">
        <v>77</v>
      </c>
    </row>
    <row r="1526">
      <c r="A1526" s="2" t="s">
        <v>910</v>
      </c>
      <c r="B1526" s="2" t="s">
        <v>552</v>
      </c>
      <c r="C1526" s="2" t="s">
        <v>1945</v>
      </c>
      <c r="D1526" s="3" t="str">
        <f>HYPERLINK("https://12go.asia/en/travel/xuchang/tianjin", "12Go Link")</f>
        <v>12Go Link</v>
      </c>
      <c r="E1526" s="2" t="s">
        <v>77</v>
      </c>
    </row>
    <row r="1527">
      <c r="A1527" s="2" t="s">
        <v>1946</v>
      </c>
      <c r="B1527" s="2" t="s">
        <v>746</v>
      </c>
      <c r="C1527" s="2" t="s">
        <v>1947</v>
      </c>
      <c r="D1527" s="3" t="str">
        <f>HYPERLINK("https://12go.asia/en/travel/yangzhou/hangzhou", "12Go Link")</f>
        <v>12Go Link</v>
      </c>
      <c r="E1527" s="2" t="s">
        <v>77</v>
      </c>
    </row>
    <row r="1528">
      <c r="A1528" s="2" t="s">
        <v>1946</v>
      </c>
      <c r="B1528" s="2" t="s">
        <v>746</v>
      </c>
      <c r="C1528" s="2" t="s">
        <v>1948</v>
      </c>
      <c r="D1528" s="3" t="str">
        <f>HYPERLINK("https://12go.asia/en/travel/yangzhou/hangzhou-east", "12Go Link")</f>
        <v>12Go Link</v>
      </c>
      <c r="E1528" s="2" t="s">
        <v>77</v>
      </c>
    </row>
    <row r="1529">
      <c r="A1529" s="2" t="s">
        <v>1946</v>
      </c>
      <c r="B1529" s="2" t="s">
        <v>746</v>
      </c>
      <c r="C1529" s="2" t="s">
        <v>1949</v>
      </c>
      <c r="D1529" s="3" t="str">
        <f>HYPERLINK("https://12go.asia/en/travel/yangzhou/hangzhou-west", "12Go Link")</f>
        <v>12Go Link</v>
      </c>
      <c r="E1529" s="2" t="s">
        <v>77</v>
      </c>
    </row>
    <row r="1530">
      <c r="A1530" s="2" t="s">
        <v>1946</v>
      </c>
      <c r="B1530" s="2" t="s">
        <v>782</v>
      </c>
      <c r="C1530" s="2" t="s">
        <v>1950</v>
      </c>
      <c r="D1530" s="3" t="str">
        <f>HYPERLINK("https://12go.asia/en/travel/yangzhou/shenzhen", "12Go Link")</f>
        <v>12Go Link</v>
      </c>
      <c r="E1530" s="2" t="s">
        <v>77</v>
      </c>
    </row>
    <row r="1531">
      <c r="A1531" s="2" t="s">
        <v>1946</v>
      </c>
      <c r="B1531" s="2" t="s">
        <v>782</v>
      </c>
      <c r="C1531" s="2" t="s">
        <v>1951</v>
      </c>
      <c r="D1531" s="3" t="str">
        <f>HYPERLINK("https://12go.asia/en/travel/yangzhou/shenzhen-east", "12Go Link")</f>
        <v>12Go Link</v>
      </c>
      <c r="E1531" s="2" t="s">
        <v>77</v>
      </c>
    </row>
    <row r="1532">
      <c r="A1532" s="2" t="s">
        <v>1946</v>
      </c>
      <c r="B1532" s="2" t="s">
        <v>782</v>
      </c>
      <c r="C1532" s="2" t="s">
        <v>1952</v>
      </c>
      <c r="D1532" s="3" t="str">
        <f>HYPERLINK("https://12go.asia/en/travel/yangzhou/shenzhen-north", "12Go Link")</f>
        <v>12Go Link</v>
      </c>
      <c r="E1532" s="2" t="s">
        <v>77</v>
      </c>
    </row>
    <row r="1533">
      <c r="A1533" s="2" t="s">
        <v>1244</v>
      </c>
      <c r="B1533" s="2" t="s">
        <v>538</v>
      </c>
      <c r="C1533" s="2" t="s">
        <v>1953</v>
      </c>
      <c r="D1533" s="3" t="str">
        <f>HYPERLINK("https://12go.asia/en/travel/yanji-west/harbin-north", "12Go Link")</f>
        <v>12Go Link</v>
      </c>
      <c r="E1533" s="2" t="s">
        <v>77</v>
      </c>
    </row>
    <row r="1534">
      <c r="A1534" s="2" t="s">
        <v>1222</v>
      </c>
      <c r="B1534" s="2" t="s">
        <v>408</v>
      </c>
      <c r="C1534" s="2" t="s">
        <v>1954</v>
      </c>
      <c r="D1534" s="3" t="str">
        <f>HYPERLINK("https://12go.asia/en/travel/yibin/chengdu-east", "12Go Link")</f>
        <v>12Go Link</v>
      </c>
      <c r="E1534" s="2" t="s">
        <v>77</v>
      </c>
    </row>
    <row r="1535">
      <c r="A1535" s="2" t="s">
        <v>1222</v>
      </c>
      <c r="B1535" s="2" t="s">
        <v>408</v>
      </c>
      <c r="C1535" s="2" t="s">
        <v>1955</v>
      </c>
      <c r="D1535" s="3" t="str">
        <f>HYPERLINK("https://12go.asia/en/travel/yibin/chengdu-south", "12Go Link")</f>
        <v>12Go Link</v>
      </c>
      <c r="E1535" s="2" t="s">
        <v>77</v>
      </c>
    </row>
    <row r="1536">
      <c r="A1536" s="2" t="s">
        <v>794</v>
      </c>
      <c r="B1536" s="2" t="s">
        <v>623</v>
      </c>
      <c r="C1536" s="2" t="s">
        <v>1956</v>
      </c>
      <c r="D1536" s="3" t="str">
        <f>HYPERLINK("https://12go.asia/en/travel/yiwu/chongqing-north", "12Go Link")</f>
        <v>12Go Link</v>
      </c>
      <c r="E1536" s="2" t="s">
        <v>77</v>
      </c>
    </row>
    <row r="1537">
      <c r="A1537" s="2" t="s">
        <v>794</v>
      </c>
      <c r="B1537" s="2" t="s">
        <v>454</v>
      </c>
      <c r="C1537" s="2" t="s">
        <v>1957</v>
      </c>
      <c r="D1537" s="3" t="str">
        <f>HYPERLINK("https://12go.asia/en/travel/hengdian/nanjing-south", "12Go Link")</f>
        <v>12Go Link</v>
      </c>
      <c r="E1537" s="2" t="s">
        <v>77</v>
      </c>
    </row>
    <row r="1538">
      <c r="A1538" s="2" t="s">
        <v>794</v>
      </c>
      <c r="B1538" s="2" t="s">
        <v>1470</v>
      </c>
      <c r="C1538" s="2" t="s">
        <v>1958</v>
      </c>
      <c r="D1538" s="3" t="str">
        <f>HYPERLINK("https://12go.asia/en/travel/hengdian/qingdao-north", "12Go Link")</f>
        <v>12Go Link</v>
      </c>
      <c r="E1538" s="2" t="s">
        <v>77</v>
      </c>
    </row>
    <row r="1539">
      <c r="A1539" s="2" t="s">
        <v>794</v>
      </c>
      <c r="B1539" s="2" t="s">
        <v>1470</v>
      </c>
      <c r="C1539" s="2" t="s">
        <v>1959</v>
      </c>
      <c r="D1539" s="3" t="str">
        <f>HYPERLINK("https://12go.asia/en/travel/yiwu/qingdao-north", "12Go Link")</f>
        <v>12Go Link</v>
      </c>
      <c r="E1539" s="2" t="s">
        <v>77</v>
      </c>
    </row>
    <row r="1540">
      <c r="A1540" s="2" t="s">
        <v>794</v>
      </c>
      <c r="B1540" s="2" t="s">
        <v>459</v>
      </c>
      <c r="C1540" s="2" t="s">
        <v>1960</v>
      </c>
      <c r="D1540" s="3" t="str">
        <f>HYPERLINK("https://12go.asia/en/travel/hengdian/shanghai-hongqiao", "12Go Link")</f>
        <v>12Go Link</v>
      </c>
      <c r="E1540" s="2" t="s">
        <v>77</v>
      </c>
    </row>
    <row r="1541">
      <c r="A1541" s="2" t="s">
        <v>794</v>
      </c>
      <c r="B1541" s="2" t="s">
        <v>459</v>
      </c>
      <c r="C1541" s="2" t="s">
        <v>1961</v>
      </c>
      <c r="D1541" s="3" t="str">
        <f>HYPERLINK("https://12go.asia/en/travel/hengdian/shanghai-south", "12Go Link")</f>
        <v>12Go Link</v>
      </c>
      <c r="E1541" s="2" t="s">
        <v>77</v>
      </c>
    </row>
    <row r="1542">
      <c r="A1542" s="2" t="s">
        <v>794</v>
      </c>
      <c r="B1542" s="2" t="s">
        <v>461</v>
      </c>
      <c r="C1542" s="2" t="s">
        <v>1962</v>
      </c>
      <c r="D1542" s="3" t="str">
        <f>HYPERLINK("https://12go.asia/en/travel/hengdian/shanghai-hongqiao-airport", "12Go Link")</f>
        <v>12Go Link</v>
      </c>
      <c r="E1542" s="2" t="s">
        <v>77</v>
      </c>
    </row>
    <row r="1543">
      <c r="A1543" s="2" t="s">
        <v>1963</v>
      </c>
      <c r="B1543" s="2" t="s">
        <v>1362</v>
      </c>
      <c r="C1543" s="2" t="s">
        <v>1964</v>
      </c>
      <c r="D1543" s="3" t="str">
        <f>HYPERLINK("https://12go.asia/en/travel/yongchuan-east/neijiang-north", "12Go Link")</f>
        <v>12Go Link</v>
      </c>
      <c r="E1543" s="2" t="s">
        <v>77</v>
      </c>
    </row>
    <row r="1544">
      <c r="A1544" s="2" t="s">
        <v>1963</v>
      </c>
      <c r="B1544" s="2" t="s">
        <v>1362</v>
      </c>
      <c r="C1544" s="2" t="s">
        <v>1965</v>
      </c>
      <c r="D1544" s="3" t="str">
        <f>HYPERLINK("https://12go.asia/en/travel/yongchuan/neijiang", "12Go Link")</f>
        <v>12Go Link</v>
      </c>
      <c r="E1544" s="2" t="s">
        <v>77</v>
      </c>
    </row>
    <row r="1545">
      <c r="A1545" s="2" t="s">
        <v>1319</v>
      </c>
      <c r="B1545" s="2" t="s">
        <v>1966</v>
      </c>
      <c r="C1545" s="2" t="s">
        <v>1967</v>
      </c>
      <c r="D1545" s="3" t="str">
        <f>HYPERLINK("https://12go.asia/en/travel/yueyang/zhangjiajie", "12Go Link")</f>
        <v>12Go Link</v>
      </c>
      <c r="E1545" s="2" t="s">
        <v>77</v>
      </c>
    </row>
    <row r="1546">
      <c r="A1546" s="2" t="s">
        <v>1319</v>
      </c>
      <c r="B1546" s="2" t="s">
        <v>1966</v>
      </c>
      <c r="C1546" s="2" t="s">
        <v>1968</v>
      </c>
      <c r="D1546" s="3" t="str">
        <f>HYPERLINK("https://12go.asia/en/travel/yueyang/zhangjiajie-west", "12Go Link")</f>
        <v>12Go Link</v>
      </c>
      <c r="E1546" s="2" t="s">
        <v>77</v>
      </c>
    </row>
    <row r="1547">
      <c r="A1547" s="2" t="s">
        <v>1440</v>
      </c>
      <c r="B1547" s="2" t="s">
        <v>836</v>
      </c>
      <c r="C1547" s="2" t="s">
        <v>1969</v>
      </c>
      <c r="D1547" s="3" t="str">
        <f>HYPERLINK("https://12go.asia/en/travel/linping-south/guiyang-north", "12Go Link")</f>
        <v>12Go Link</v>
      </c>
      <c r="E1547" s="2" t="s">
        <v>77</v>
      </c>
    </row>
    <row r="1548">
      <c r="A1548" s="2" t="s">
        <v>1440</v>
      </c>
      <c r="B1548" s="2" t="s">
        <v>459</v>
      </c>
      <c r="C1548" s="2" t="s">
        <v>1970</v>
      </c>
      <c r="D1548" s="3" t="str">
        <f>HYPERLINK("https://12go.asia/en/travel/linping-south/shanghai-south", "12Go Link")</f>
        <v>12Go Link</v>
      </c>
      <c r="E1548" s="2" t="s">
        <v>77</v>
      </c>
    </row>
    <row r="1549">
      <c r="A1549" s="2" t="s">
        <v>1002</v>
      </c>
      <c r="B1549" s="2" t="s">
        <v>618</v>
      </c>
      <c r="C1549" s="2" t="s">
        <v>1971</v>
      </c>
      <c r="D1549" s="3" t="str">
        <f>HYPERLINK("https://12go.asia/en/travel/yulin-guangxi/zhanjiang", "12Go Link")</f>
        <v>12Go Link</v>
      </c>
      <c r="E1549" s="2" t="s">
        <v>77</v>
      </c>
    </row>
    <row r="1550">
      <c r="A1550" s="2" t="s">
        <v>1002</v>
      </c>
      <c r="B1550" s="2" t="s">
        <v>618</v>
      </c>
      <c r="C1550" s="2" t="s">
        <v>1972</v>
      </c>
      <c r="D1550" s="3" t="str">
        <f>HYPERLINK("https://12go.asia/en/travel/yulin-guangxi/zhanjiang-west", "12Go Link")</f>
        <v>12Go Link</v>
      </c>
      <c r="E1550" s="2" t="s">
        <v>77</v>
      </c>
    </row>
    <row r="1551">
      <c r="A1551" s="2" t="s">
        <v>1630</v>
      </c>
      <c r="B1551" s="2" t="s">
        <v>1973</v>
      </c>
      <c r="C1551" s="2" t="s">
        <v>1974</v>
      </c>
      <c r="D1551" s="3" t="str">
        <f>HYPERLINK("https://12go.asia/en/travel/yuanjiang/xishuangbanna", "12Go Link")</f>
        <v>12Go Link</v>
      </c>
      <c r="E1551" s="2" t="s">
        <v>77</v>
      </c>
    </row>
    <row r="1552">
      <c r="A1552" s="2" t="s">
        <v>1630</v>
      </c>
      <c r="B1552" s="2" t="s">
        <v>1973</v>
      </c>
      <c r="C1552" s="2" t="s">
        <v>1975</v>
      </c>
      <c r="D1552" s="3" t="str">
        <f>HYPERLINK("https://12go.asia/en/travel/yuanjiang/yexianggu", "12Go Link")</f>
        <v>12Go Link</v>
      </c>
      <c r="E1552" s="2" t="s">
        <v>77</v>
      </c>
    </row>
    <row r="1553">
      <c r="A1553" s="2" t="s">
        <v>1630</v>
      </c>
      <c r="B1553" s="2" t="s">
        <v>1976</v>
      </c>
      <c r="C1553" s="2" t="s">
        <v>1977</v>
      </c>
      <c r="D1553" s="3" t="str">
        <f>HYPERLINK("https://12go.asia/en/travel/yunnan/mohan-yunnan", "12Go Link")</f>
        <v>12Go Link</v>
      </c>
      <c r="E1553" s="2" t="s">
        <v>77</v>
      </c>
    </row>
    <row r="1554">
      <c r="A1554" s="2" t="s">
        <v>1630</v>
      </c>
      <c r="B1554" s="2" t="s">
        <v>1978</v>
      </c>
      <c r="C1554" s="2" t="s">
        <v>1979</v>
      </c>
      <c r="D1554" s="3" t="str">
        <f>HYPERLINK("https://12go.asia/en/travel/mengla/luang-prabang-railway-station", "12Go Link")</f>
        <v>12Go Link</v>
      </c>
      <c r="E1554" s="2" t="s">
        <v>77</v>
      </c>
    </row>
    <row r="1555">
      <c r="A1555" s="2" t="s">
        <v>639</v>
      </c>
      <c r="B1555" s="2" t="s">
        <v>639</v>
      </c>
      <c r="C1555" s="2" t="s">
        <v>1980</v>
      </c>
      <c r="D1555" s="3" t="str">
        <f>HYPERLINK("https://12go.asia/en/travel/yuxi-yunnan/jianshui", "12Go Link")</f>
        <v>12Go Link</v>
      </c>
      <c r="E1555" s="2" t="s">
        <v>77</v>
      </c>
    </row>
    <row r="1556">
      <c r="A1556" s="2" t="s">
        <v>1966</v>
      </c>
      <c r="B1556" s="2" t="s">
        <v>872</v>
      </c>
      <c r="C1556" s="2" t="s">
        <v>1981</v>
      </c>
      <c r="D1556" s="3" t="str">
        <f>HYPERLINK("https://12go.asia/en/travel/zhangjiajie-west/qianjiang", "12Go Link")</f>
        <v>12Go Link</v>
      </c>
      <c r="E1556" s="2" t="s">
        <v>77</v>
      </c>
    </row>
    <row r="1557">
      <c r="A1557" s="2" t="s">
        <v>1966</v>
      </c>
      <c r="B1557" s="2" t="s">
        <v>872</v>
      </c>
      <c r="C1557" s="2" t="s">
        <v>1982</v>
      </c>
      <c r="D1557" s="3" t="str">
        <f>HYPERLINK("https://12go.asia/en/travel/zhangjiajie/hubei", "12Go Link")</f>
        <v>12Go Link</v>
      </c>
      <c r="E1557" s="2" t="s">
        <v>77</v>
      </c>
    </row>
    <row r="1558">
      <c r="A1558" s="2" t="s">
        <v>474</v>
      </c>
      <c r="B1558" s="2" t="s">
        <v>491</v>
      </c>
      <c r="C1558" s="2" t="s">
        <v>1983</v>
      </c>
      <c r="D1558" s="3" t="str">
        <f>HYPERLINK("https://12go.asia/en/travel/ruian/beijing-south", "12Go Link")</f>
        <v>12Go Link</v>
      </c>
      <c r="E1558" s="2" t="s">
        <v>77</v>
      </c>
    </row>
    <row r="1559">
      <c r="A1559" s="2" t="s">
        <v>474</v>
      </c>
      <c r="B1559" s="2" t="s">
        <v>392</v>
      </c>
      <c r="C1559" s="2" t="s">
        <v>1984</v>
      </c>
      <c r="D1559" s="3" t="str">
        <f>HYPERLINK("https://12go.asia/en/travel/ninghai/changzhou", "12Go Link")</f>
        <v>12Go Link</v>
      </c>
      <c r="E1559" s="2" t="s">
        <v>77</v>
      </c>
    </row>
    <row r="1560">
      <c r="A1560" s="2" t="s">
        <v>474</v>
      </c>
      <c r="B1560" s="2" t="s">
        <v>392</v>
      </c>
      <c r="C1560" s="2" t="s">
        <v>1985</v>
      </c>
      <c r="D1560" s="3" t="str">
        <f>HYPERLINK("https://12go.asia/en/travel/ninghai/changzhou-north", "12Go Link")</f>
        <v>12Go Link</v>
      </c>
      <c r="E1560" s="2" t="s">
        <v>77</v>
      </c>
    </row>
    <row r="1561">
      <c r="A1561" s="2" t="s">
        <v>474</v>
      </c>
      <c r="B1561" s="2" t="s">
        <v>495</v>
      </c>
      <c r="C1561" s="2" t="s">
        <v>1986</v>
      </c>
      <c r="D1561" s="3" t="str">
        <f>HYPERLINK("https://12go.asia/en/travel/yuyao-north/huainan-south", "12Go Link")</f>
        <v>12Go Link</v>
      </c>
      <c r="E1561" s="2" t="s">
        <v>77</v>
      </c>
    </row>
    <row r="1562">
      <c r="A1562" s="2" t="s">
        <v>474</v>
      </c>
      <c r="B1562" s="2" t="s">
        <v>495</v>
      </c>
      <c r="C1562" s="2" t="s">
        <v>1987</v>
      </c>
      <c r="D1562" s="3" t="str">
        <f>HYPERLINK("https://12go.asia/en/travel/zhejiang/huainan", "12Go Link")</f>
        <v>12Go Link</v>
      </c>
      <c r="E1562" s="2" t="s">
        <v>77</v>
      </c>
    </row>
    <row r="1563">
      <c r="A1563" s="2" t="s">
        <v>474</v>
      </c>
      <c r="B1563" s="2" t="s">
        <v>1179</v>
      </c>
      <c r="C1563" s="2" t="s">
        <v>1988</v>
      </c>
      <c r="D1563" s="3" t="str">
        <f>HYPERLINK("https://12go.asia/en/travel/zhejiang/jingdezhen", "12Go Link")</f>
        <v>12Go Link</v>
      </c>
      <c r="E1563" s="2" t="s">
        <v>77</v>
      </c>
    </row>
    <row r="1564">
      <c r="A1564" s="2" t="s">
        <v>474</v>
      </c>
      <c r="B1564" s="2" t="s">
        <v>772</v>
      </c>
      <c r="C1564" s="2" t="s">
        <v>1989</v>
      </c>
      <c r="D1564" s="3" t="str">
        <f>HYPERLINK("https://12go.asia/en/travel/yuyao-north/ningbo", "12Go Link")</f>
        <v>12Go Link</v>
      </c>
      <c r="E1564" s="2" t="s">
        <v>77</v>
      </c>
    </row>
    <row r="1565">
      <c r="A1565" s="2" t="s">
        <v>474</v>
      </c>
      <c r="B1565" s="2" t="s">
        <v>772</v>
      </c>
      <c r="C1565" s="2" t="s">
        <v>1990</v>
      </c>
      <c r="D1565" s="3" t="str">
        <f>HYPERLINK("https://12go.asia/en/travel/yuyao/ningbo", "12Go Link")</f>
        <v>12Go Link</v>
      </c>
      <c r="E1565" s="2" t="s">
        <v>77</v>
      </c>
    </row>
    <row r="1566">
      <c r="A1566" s="2" t="s">
        <v>474</v>
      </c>
      <c r="B1566" s="2" t="s">
        <v>459</v>
      </c>
      <c r="C1566" s="2" t="s">
        <v>1991</v>
      </c>
      <c r="D1566" s="3" t="str">
        <f>HYPERLINK("https://12go.asia/en/travel/yuyao-north/shanghai-south", "12Go Link")</f>
        <v>12Go Link</v>
      </c>
      <c r="E1566" s="2" t="s">
        <v>77</v>
      </c>
    </row>
    <row r="1567">
      <c r="A1567" s="2" t="s">
        <v>474</v>
      </c>
      <c r="B1567" s="2" t="s">
        <v>852</v>
      </c>
      <c r="C1567" s="2" t="s">
        <v>1992</v>
      </c>
      <c r="D1567" s="3" t="str">
        <f>HYPERLINK("https://12go.asia/en/travel/lishui-zhejiang/yancheng", "12Go Link")</f>
        <v>12Go Link</v>
      </c>
      <c r="E1567" s="2" t="s">
        <v>77</v>
      </c>
    </row>
    <row r="1568">
      <c r="A1568" s="2" t="s">
        <v>474</v>
      </c>
      <c r="B1568" s="2" t="s">
        <v>799</v>
      </c>
      <c r="C1568" s="2" t="s">
        <v>1993</v>
      </c>
      <c r="D1568" s="3" t="str">
        <f>HYPERLINK("https://12go.asia/en/travel/yuyao-north/zhengzhou-east", "12Go Link")</f>
        <v>12Go Link</v>
      </c>
      <c r="E1568" s="2" t="s">
        <v>77</v>
      </c>
    </row>
    <row r="1569">
      <c r="A1569" s="2" t="s">
        <v>799</v>
      </c>
      <c r="B1569" s="2" t="s">
        <v>1002</v>
      </c>
      <c r="C1569" s="2" t="s">
        <v>1994</v>
      </c>
      <c r="D1569" s="3" t="str">
        <f>HYPERLINK("https://12go.asia/en/travel/zhengzhou/yulin-guangxi", "12Go Link")</f>
        <v>12Go Link</v>
      </c>
      <c r="E1569" s="2" t="s">
        <v>77</v>
      </c>
    </row>
    <row r="1570">
      <c r="A1570" s="2" t="s">
        <v>1995</v>
      </c>
      <c r="B1570" s="2" t="s">
        <v>910</v>
      </c>
      <c r="C1570" s="2" t="s">
        <v>1996</v>
      </c>
      <c r="D1570" s="3" t="str">
        <f>HYPERLINK("https://12go.asia/en/travel/zhuhai/xuchang", "12Go Link")</f>
        <v>12Go Link</v>
      </c>
      <c r="E1570" s="2" t="s">
        <v>77</v>
      </c>
    </row>
    <row r="1571">
      <c r="A1571" s="2" t="s">
        <v>1995</v>
      </c>
      <c r="B1571" s="2" t="s">
        <v>910</v>
      </c>
      <c r="C1571" s="2" t="s">
        <v>1997</v>
      </c>
      <c r="D1571" s="3" t="str">
        <f>HYPERLINK("https://12go.asia/en/travel/zhuhai/xuchang-east", "12Go Link")</f>
        <v>12Go Link</v>
      </c>
      <c r="E1571" s="2" t="s">
        <v>77</v>
      </c>
    </row>
    <row r="1572">
      <c r="A1572" s="2" t="s">
        <v>1998</v>
      </c>
      <c r="B1572" s="2" t="s">
        <v>750</v>
      </c>
      <c r="C1572" s="2" t="s">
        <v>1999</v>
      </c>
      <c r="D1572" s="3" t="str">
        <f>HYPERLINK("https://12go.asia/en/travel/zhumadian/henan", "12Go Link")</f>
        <v>12Go Link</v>
      </c>
      <c r="E1572" s="2" t="s">
        <v>77</v>
      </c>
    </row>
    <row r="1573">
      <c r="A1573" s="2" t="s">
        <v>993</v>
      </c>
      <c r="B1573" s="2" t="s">
        <v>454</v>
      </c>
      <c r="C1573" s="2" t="s">
        <v>2000</v>
      </c>
      <c r="D1573" s="3" t="str">
        <f>HYPERLINK("https://12go.asia/en/travel/zibo-north/nanjing-south", "12Go Link")</f>
        <v>12Go Link</v>
      </c>
      <c r="E1573" s="2" t="s">
        <v>77</v>
      </c>
    </row>
    <row r="1574">
      <c r="A1574" s="2" t="s">
        <v>993</v>
      </c>
      <c r="B1574" s="2" t="s">
        <v>454</v>
      </c>
      <c r="C1574" s="2" t="s">
        <v>2001</v>
      </c>
      <c r="D1574" s="3" t="str">
        <f>HYPERLINK("https://12go.asia/en/travel/zibo/nanjing", "12Go Link")</f>
        <v>12Go Link</v>
      </c>
      <c r="E1574" s="2" t="s">
        <v>77</v>
      </c>
    </row>
    <row r="1575">
      <c r="A1575" s="2" t="s">
        <v>993</v>
      </c>
      <c r="B1575" s="2" t="s">
        <v>454</v>
      </c>
      <c r="C1575" s="2" t="s">
        <v>2002</v>
      </c>
      <c r="D1575" s="3" t="str">
        <f>HYPERLINK("https://12go.asia/en/travel/zibo/nanjing-south", "12Go Link")</f>
        <v>12Go Link</v>
      </c>
      <c r="E1575" s="2" t="s">
        <v>77</v>
      </c>
    </row>
    <row r="1576">
      <c r="A1576" s="2" t="s">
        <v>2003</v>
      </c>
      <c r="B1576" s="2" t="s">
        <v>2004</v>
      </c>
      <c r="C1576" s="2" t="s">
        <v>2005</v>
      </c>
      <c r="D1576" s="3" t="str">
        <f t="shared" ref="D1576:D1577" si="47">HYPERLINK("https://12go.asia/en/travel/Bayeux-Hotel-Transfer/Caen-Hotel-Transfer", "12Go Link")</f>
        <v>12Go Link</v>
      </c>
      <c r="E1576" s="2" t="s">
        <v>2006</v>
      </c>
    </row>
    <row r="1577">
      <c r="A1577" s="2" t="s">
        <v>2003</v>
      </c>
      <c r="B1577" s="2" t="s">
        <v>2004</v>
      </c>
      <c r="C1577" s="2" t="s">
        <v>2005</v>
      </c>
      <c r="D1577" s="3" t="str">
        <f t="shared" si="47"/>
        <v>12Go Link</v>
      </c>
      <c r="E1577" s="2" t="s">
        <v>14</v>
      </c>
    </row>
    <row r="1578">
      <c r="A1578" s="2" t="s">
        <v>2003</v>
      </c>
      <c r="B1578" s="2" t="s">
        <v>2007</v>
      </c>
      <c r="C1578" s="2" t="s">
        <v>2008</v>
      </c>
      <c r="D1578" s="3" t="str">
        <f t="shared" ref="D1578:D1579" si="48">HYPERLINK("https://12go.asia/en/travel/Bayeux-Hotel-Transfer/Paris-Hotel-Transfer", "12Go Link")</f>
        <v>12Go Link</v>
      </c>
      <c r="E1578" s="2" t="s">
        <v>2006</v>
      </c>
    </row>
    <row r="1579">
      <c r="A1579" s="2" t="s">
        <v>2003</v>
      </c>
      <c r="B1579" s="2" t="s">
        <v>2007</v>
      </c>
      <c r="C1579" s="2" t="s">
        <v>2008</v>
      </c>
      <c r="D1579" s="3" t="str">
        <f t="shared" si="48"/>
        <v>12Go Link</v>
      </c>
      <c r="E1579" s="2" t="s">
        <v>14</v>
      </c>
    </row>
    <row r="1580">
      <c r="A1580" s="2" t="s">
        <v>2003</v>
      </c>
      <c r="B1580" s="2" t="s">
        <v>2009</v>
      </c>
      <c r="C1580" s="2" t="s">
        <v>2010</v>
      </c>
      <c r="D1580" s="3" t="str">
        <f t="shared" ref="D1580:D1581" si="49">HYPERLINK("https://12go.asia/en/travel/Bayeux-Hotel-Transfer/Reims-Hotel-Transfer", "12Go Link")</f>
        <v>12Go Link</v>
      </c>
      <c r="E1580" s="2" t="s">
        <v>2006</v>
      </c>
    </row>
    <row r="1581">
      <c r="A1581" s="2" t="s">
        <v>2003</v>
      </c>
      <c r="B1581" s="2" t="s">
        <v>2009</v>
      </c>
      <c r="C1581" s="2" t="s">
        <v>2010</v>
      </c>
      <c r="D1581" s="3" t="str">
        <f t="shared" si="49"/>
        <v>12Go Link</v>
      </c>
      <c r="E1581" s="2" t="s">
        <v>14</v>
      </c>
    </row>
    <row r="1582">
      <c r="A1582" s="2" t="s">
        <v>2004</v>
      </c>
      <c r="B1582" s="2" t="s">
        <v>2003</v>
      </c>
      <c r="C1582" s="2" t="s">
        <v>2011</v>
      </c>
      <c r="D1582" s="3" t="str">
        <f t="shared" ref="D1582:D1583" si="50">HYPERLINK("https://12go.asia/en/travel/Caen-Hotel-Transfer/Bayeux-Hotel-Transfer", "12Go Link")</f>
        <v>12Go Link</v>
      </c>
      <c r="E1582" s="2" t="s">
        <v>2006</v>
      </c>
    </row>
    <row r="1583">
      <c r="A1583" s="2" t="s">
        <v>2004</v>
      </c>
      <c r="B1583" s="2" t="s">
        <v>2003</v>
      </c>
      <c r="C1583" s="2" t="s">
        <v>2011</v>
      </c>
      <c r="D1583" s="3" t="str">
        <f t="shared" si="50"/>
        <v>12Go Link</v>
      </c>
      <c r="E1583" s="2" t="s">
        <v>14</v>
      </c>
    </row>
    <row r="1584">
      <c r="A1584" s="2" t="s">
        <v>2004</v>
      </c>
      <c r="B1584" s="2" t="s">
        <v>2012</v>
      </c>
      <c r="C1584" s="2" t="s">
        <v>2013</v>
      </c>
      <c r="D1584" s="3" t="str">
        <f t="shared" ref="D1584:D1585" si="51">HYPERLINK("https://12go.asia/en/travel/Caen-Hotel-Transfer/Cherbourg-Hotel-Transfer", "12Go Link")</f>
        <v>12Go Link</v>
      </c>
      <c r="E1584" s="2" t="s">
        <v>2006</v>
      </c>
    </row>
    <row r="1585">
      <c r="A1585" s="2" t="s">
        <v>2004</v>
      </c>
      <c r="B1585" s="2" t="s">
        <v>2012</v>
      </c>
      <c r="C1585" s="2" t="s">
        <v>2013</v>
      </c>
      <c r="D1585" s="3" t="str">
        <f t="shared" si="51"/>
        <v>12Go Link</v>
      </c>
      <c r="E1585" s="2" t="s">
        <v>14</v>
      </c>
    </row>
    <row r="1586">
      <c r="A1586" s="2" t="s">
        <v>2004</v>
      </c>
      <c r="B1586" s="2" t="s">
        <v>2014</v>
      </c>
      <c r="C1586" s="2" t="s">
        <v>2015</v>
      </c>
      <c r="D1586" s="3" t="str">
        <f t="shared" ref="D1586:D1587" si="52">HYPERLINK("https://12go.asia/en/travel/Caen-Hotel-Transfer/Deauville-Hotel-Transfer", "12Go Link")</f>
        <v>12Go Link</v>
      </c>
      <c r="E1586" s="2" t="s">
        <v>2006</v>
      </c>
    </row>
    <row r="1587">
      <c r="A1587" s="2" t="s">
        <v>2004</v>
      </c>
      <c r="B1587" s="2" t="s">
        <v>2014</v>
      </c>
      <c r="C1587" s="2" t="s">
        <v>2015</v>
      </c>
      <c r="D1587" s="3" t="str">
        <f t="shared" si="52"/>
        <v>12Go Link</v>
      </c>
      <c r="E1587" s="2" t="s">
        <v>14</v>
      </c>
    </row>
    <row r="1588">
      <c r="A1588" s="2" t="s">
        <v>2004</v>
      </c>
      <c r="B1588" s="2" t="s">
        <v>2016</v>
      </c>
      <c r="C1588" s="2" t="s">
        <v>2017</v>
      </c>
      <c r="D1588" s="3" t="str">
        <f t="shared" ref="D1588:D1589" si="53">HYPERLINK("https://12go.asia/en/travel/Caen-Hotel-Transfer/Honfleur-Hotel-Transfer", "12Go Link")</f>
        <v>12Go Link</v>
      </c>
      <c r="E1588" s="2" t="s">
        <v>2006</v>
      </c>
    </row>
    <row r="1589">
      <c r="A1589" s="2" t="s">
        <v>2004</v>
      </c>
      <c r="B1589" s="2" t="s">
        <v>2016</v>
      </c>
      <c r="C1589" s="2" t="s">
        <v>2017</v>
      </c>
      <c r="D1589" s="3" t="str">
        <f t="shared" si="53"/>
        <v>12Go Link</v>
      </c>
      <c r="E1589" s="2" t="s">
        <v>14</v>
      </c>
    </row>
    <row r="1590">
      <c r="A1590" s="2" t="s">
        <v>2004</v>
      </c>
      <c r="B1590" s="2" t="s">
        <v>2018</v>
      </c>
      <c r="C1590" s="2" t="s">
        <v>2019</v>
      </c>
      <c r="D1590" s="3" t="str">
        <f t="shared" ref="D1590:D1591" si="54">HYPERLINK("https://12go.asia/en/travel/Caen-Hotel-Transfer/Le-Havre-Hotel-Transfer", "12Go Link")</f>
        <v>12Go Link</v>
      </c>
      <c r="E1590" s="2" t="s">
        <v>2006</v>
      </c>
    </row>
    <row r="1591">
      <c r="A1591" s="2" t="s">
        <v>2004</v>
      </c>
      <c r="B1591" s="2" t="s">
        <v>2018</v>
      </c>
      <c r="C1591" s="2" t="s">
        <v>2019</v>
      </c>
      <c r="D1591" s="3" t="str">
        <f t="shared" si="54"/>
        <v>12Go Link</v>
      </c>
      <c r="E1591" s="2" t="s">
        <v>14</v>
      </c>
    </row>
    <row r="1592">
      <c r="A1592" s="2" t="s">
        <v>2004</v>
      </c>
      <c r="B1592" s="2" t="s">
        <v>2020</v>
      </c>
      <c r="C1592" s="2" t="s">
        <v>2021</v>
      </c>
      <c r="D1592" s="3" t="str">
        <f t="shared" ref="D1592:D1593" si="55">HYPERLINK("https://12go.asia/en/travel/Caen-Hotel-Transfer/Mont-Saint-Michel-Transfer", "12Go Link")</f>
        <v>12Go Link</v>
      </c>
      <c r="E1592" s="2" t="s">
        <v>2006</v>
      </c>
    </row>
    <row r="1593">
      <c r="A1593" s="2" t="s">
        <v>2004</v>
      </c>
      <c r="B1593" s="2" t="s">
        <v>2020</v>
      </c>
      <c r="C1593" s="2" t="s">
        <v>2021</v>
      </c>
      <c r="D1593" s="3" t="str">
        <f t="shared" si="55"/>
        <v>12Go Link</v>
      </c>
      <c r="E1593" s="2" t="s">
        <v>14</v>
      </c>
    </row>
    <row r="1594">
      <c r="A1594" s="2" t="s">
        <v>2004</v>
      </c>
      <c r="B1594" s="2" t="s">
        <v>2007</v>
      </c>
      <c r="C1594" s="2" t="s">
        <v>2022</v>
      </c>
      <c r="D1594" s="3" t="str">
        <f t="shared" ref="D1594:D1595" si="56">HYPERLINK("https://12go.asia/en/travel/Caen-Hotel-Transfer/Charles-de-Gaulle-Airport", "12Go Link")</f>
        <v>12Go Link</v>
      </c>
      <c r="E1594" s="2" t="s">
        <v>2006</v>
      </c>
    </row>
    <row r="1595">
      <c r="A1595" s="2" t="s">
        <v>2004</v>
      </c>
      <c r="B1595" s="2" t="s">
        <v>2007</v>
      </c>
      <c r="C1595" s="2" t="s">
        <v>2022</v>
      </c>
      <c r="D1595" s="3" t="str">
        <f t="shared" si="56"/>
        <v>12Go Link</v>
      </c>
      <c r="E1595" s="2" t="s">
        <v>14</v>
      </c>
    </row>
    <row r="1596">
      <c r="A1596" s="2" t="s">
        <v>2004</v>
      </c>
      <c r="B1596" s="2" t="s">
        <v>2007</v>
      </c>
      <c r="C1596" s="2" t="s">
        <v>2023</v>
      </c>
      <c r="D1596" s="3" t="str">
        <f t="shared" ref="D1596:D1597" si="57">HYPERLINK("https://12go.asia/en/travel/Caen-Hotel-Transfer/Paris-Hotel-Transfer", "12Go Link")</f>
        <v>12Go Link</v>
      </c>
      <c r="E1596" s="2" t="s">
        <v>2006</v>
      </c>
    </row>
    <row r="1597">
      <c r="A1597" s="2" t="s">
        <v>2004</v>
      </c>
      <c r="B1597" s="2" t="s">
        <v>2007</v>
      </c>
      <c r="C1597" s="2" t="s">
        <v>2023</v>
      </c>
      <c r="D1597" s="3" t="str">
        <f t="shared" si="57"/>
        <v>12Go Link</v>
      </c>
      <c r="E1597" s="2" t="s">
        <v>14</v>
      </c>
    </row>
    <row r="1598">
      <c r="A1598" s="2" t="s">
        <v>2004</v>
      </c>
      <c r="B1598" s="2" t="s">
        <v>2024</v>
      </c>
      <c r="C1598" s="2" t="s">
        <v>2025</v>
      </c>
      <c r="D1598" s="3" t="str">
        <f t="shared" ref="D1598:D1599" si="58">HYPERLINK("https://12go.asia/en/travel/Caen-Hotel-Transfer/Rennes-Hotel-Transfer", "12Go Link")</f>
        <v>12Go Link</v>
      </c>
      <c r="E1598" s="2" t="s">
        <v>2006</v>
      </c>
    </row>
    <row r="1599">
      <c r="A1599" s="2" t="s">
        <v>2004</v>
      </c>
      <c r="B1599" s="2" t="s">
        <v>2024</v>
      </c>
      <c r="C1599" s="2" t="s">
        <v>2025</v>
      </c>
      <c r="D1599" s="3" t="str">
        <f t="shared" si="58"/>
        <v>12Go Link</v>
      </c>
      <c r="E1599" s="2" t="s">
        <v>14</v>
      </c>
    </row>
    <row r="1600">
      <c r="A1600" s="2" t="s">
        <v>2004</v>
      </c>
      <c r="B1600" s="2" t="s">
        <v>2026</v>
      </c>
      <c r="C1600" s="2" t="s">
        <v>2027</v>
      </c>
      <c r="D1600" s="3" t="str">
        <f t="shared" ref="D1600:D1601" si="59">HYPERLINK("https://12go.asia/en/travel/Caen-Hotel-Transfer/Rouen-Hotel-Transfer", "12Go Link")</f>
        <v>12Go Link</v>
      </c>
      <c r="E1600" s="2" t="s">
        <v>2006</v>
      </c>
    </row>
    <row r="1601">
      <c r="A1601" s="2" t="s">
        <v>2004</v>
      </c>
      <c r="B1601" s="2" t="s">
        <v>2026</v>
      </c>
      <c r="C1601" s="2" t="s">
        <v>2027</v>
      </c>
      <c r="D1601" s="3" t="str">
        <f t="shared" si="59"/>
        <v>12Go Link</v>
      </c>
      <c r="E1601" s="2" t="s">
        <v>14</v>
      </c>
    </row>
    <row r="1602">
      <c r="A1602" s="2" t="s">
        <v>2004</v>
      </c>
      <c r="B1602" s="2" t="s">
        <v>2028</v>
      </c>
      <c r="C1602" s="2" t="s">
        <v>2029</v>
      </c>
      <c r="D1602" s="3" t="str">
        <f t="shared" ref="D1602:D1603" si="60">HYPERLINK("https://12go.asia/en/travel/Caen-Hotel-Transfer/Saint-Malo-Hotel-Transfer", "12Go Link")</f>
        <v>12Go Link</v>
      </c>
      <c r="E1602" s="2" t="s">
        <v>2006</v>
      </c>
    </row>
    <row r="1603">
      <c r="A1603" s="2" t="s">
        <v>2004</v>
      </c>
      <c r="B1603" s="2" t="s">
        <v>2028</v>
      </c>
      <c r="C1603" s="2" t="s">
        <v>2029</v>
      </c>
      <c r="D1603" s="3" t="str">
        <f t="shared" si="60"/>
        <v>12Go Link</v>
      </c>
      <c r="E1603" s="2" t="s">
        <v>14</v>
      </c>
    </row>
    <row r="1604">
      <c r="A1604" s="2" t="s">
        <v>2012</v>
      </c>
      <c r="B1604" s="2" t="s">
        <v>2004</v>
      </c>
      <c r="C1604" s="2" t="s">
        <v>2030</v>
      </c>
      <c r="D1604" s="3" t="str">
        <f t="shared" ref="D1604:D1605" si="61">HYPERLINK("https://12go.asia/en/travel/Cherbourg-Hotel-Transfer/Caen-Hotel-Transfer", "12Go Link")</f>
        <v>12Go Link</v>
      </c>
      <c r="E1604" s="2" t="s">
        <v>2006</v>
      </c>
    </row>
    <row r="1605">
      <c r="A1605" s="2" t="s">
        <v>2012</v>
      </c>
      <c r="B1605" s="2" t="s">
        <v>2004</v>
      </c>
      <c r="C1605" s="2" t="s">
        <v>2030</v>
      </c>
      <c r="D1605" s="3" t="str">
        <f t="shared" si="61"/>
        <v>12Go Link</v>
      </c>
      <c r="E1605" s="2" t="s">
        <v>14</v>
      </c>
    </row>
    <row r="1606">
      <c r="A1606" s="2" t="s">
        <v>2014</v>
      </c>
      <c r="B1606" s="2" t="s">
        <v>2004</v>
      </c>
      <c r="C1606" s="2" t="s">
        <v>2031</v>
      </c>
      <c r="D1606" s="3" t="str">
        <f t="shared" ref="D1606:D1607" si="62">HYPERLINK("https://12go.asia/en/travel/Deauville-Hotel-Transfer/Caen-Hotel-Transfer", "12Go Link")</f>
        <v>12Go Link</v>
      </c>
      <c r="E1606" s="2" t="s">
        <v>2006</v>
      </c>
    </row>
    <row r="1607">
      <c r="A1607" s="2" t="s">
        <v>2014</v>
      </c>
      <c r="B1607" s="2" t="s">
        <v>2004</v>
      </c>
      <c r="C1607" s="2" t="s">
        <v>2031</v>
      </c>
      <c r="D1607" s="3" t="str">
        <f t="shared" si="62"/>
        <v>12Go Link</v>
      </c>
      <c r="E1607" s="2" t="s">
        <v>14</v>
      </c>
    </row>
    <row r="1608">
      <c r="A1608" s="2" t="s">
        <v>2016</v>
      </c>
      <c r="B1608" s="2" t="s">
        <v>2004</v>
      </c>
      <c r="C1608" s="2" t="s">
        <v>2032</v>
      </c>
      <c r="D1608" s="3" t="str">
        <f t="shared" ref="D1608:D1609" si="63">HYPERLINK("https://12go.asia/en/travel/Honfleur-Hotel-Transfer/Caen-Hotel-Transfer", "12Go Link")</f>
        <v>12Go Link</v>
      </c>
      <c r="E1608" s="2" t="s">
        <v>2006</v>
      </c>
    </row>
    <row r="1609">
      <c r="A1609" s="2" t="s">
        <v>2016</v>
      </c>
      <c r="B1609" s="2" t="s">
        <v>2004</v>
      </c>
      <c r="C1609" s="2" t="s">
        <v>2032</v>
      </c>
      <c r="D1609" s="3" t="str">
        <f t="shared" si="63"/>
        <v>12Go Link</v>
      </c>
      <c r="E1609" s="2" t="s">
        <v>14</v>
      </c>
    </row>
    <row r="1610">
      <c r="A1610" s="2" t="s">
        <v>2018</v>
      </c>
      <c r="B1610" s="2" t="s">
        <v>2004</v>
      </c>
      <c r="C1610" s="2" t="s">
        <v>2033</v>
      </c>
      <c r="D1610" s="3" t="str">
        <f t="shared" ref="D1610:D1611" si="64">HYPERLINK("https://12go.asia/en/travel/Le-Havre-Hotel-Transfer/Caen-Hotel-Transfer", "12Go Link")</f>
        <v>12Go Link</v>
      </c>
      <c r="E1610" s="2" t="s">
        <v>2006</v>
      </c>
    </row>
    <row r="1611">
      <c r="A1611" s="2" t="s">
        <v>2018</v>
      </c>
      <c r="B1611" s="2" t="s">
        <v>2004</v>
      </c>
      <c r="C1611" s="2" t="s">
        <v>2033</v>
      </c>
      <c r="D1611" s="3" t="str">
        <f t="shared" si="64"/>
        <v>12Go Link</v>
      </c>
      <c r="E1611" s="2" t="s">
        <v>14</v>
      </c>
    </row>
    <row r="1612">
      <c r="A1612" s="2" t="s">
        <v>2018</v>
      </c>
      <c r="B1612" s="2" t="s">
        <v>2007</v>
      </c>
      <c r="C1612" s="2" t="s">
        <v>2034</v>
      </c>
      <c r="D1612" s="3" t="str">
        <f t="shared" ref="D1612:D1613" si="65">HYPERLINK("https://12go.asia/en/travel/Le-Havre-Hotel-Transfer/Paris-Hotel-Transfer", "12Go Link")</f>
        <v>12Go Link</v>
      </c>
      <c r="E1612" s="2" t="s">
        <v>2006</v>
      </c>
    </row>
    <row r="1613">
      <c r="A1613" s="2" t="s">
        <v>2018</v>
      </c>
      <c r="B1613" s="2" t="s">
        <v>2007</v>
      </c>
      <c r="C1613" s="2" t="s">
        <v>2034</v>
      </c>
      <c r="D1613" s="3" t="str">
        <f t="shared" si="65"/>
        <v>12Go Link</v>
      </c>
      <c r="E1613" s="2" t="s">
        <v>14</v>
      </c>
    </row>
    <row r="1614">
      <c r="A1614" s="2" t="s">
        <v>2020</v>
      </c>
      <c r="B1614" s="2" t="s">
        <v>2004</v>
      </c>
      <c r="C1614" s="2" t="s">
        <v>2035</v>
      </c>
      <c r="D1614" s="3" t="str">
        <f t="shared" ref="D1614:D1615" si="66">HYPERLINK("https://12go.asia/en/travel/Mont-Saint-Michel-Transfer/Caen-Hotel-Transfer", "12Go Link")</f>
        <v>12Go Link</v>
      </c>
      <c r="E1614" s="2" t="s">
        <v>2006</v>
      </c>
    </row>
    <row r="1615">
      <c r="A1615" s="2" t="s">
        <v>2020</v>
      </c>
      <c r="B1615" s="2" t="s">
        <v>2004</v>
      </c>
      <c r="C1615" s="2" t="s">
        <v>2035</v>
      </c>
      <c r="D1615" s="3" t="str">
        <f t="shared" si="66"/>
        <v>12Go Link</v>
      </c>
      <c r="E1615" s="2" t="s">
        <v>14</v>
      </c>
    </row>
    <row r="1616">
      <c r="A1616" s="2" t="s">
        <v>2020</v>
      </c>
      <c r="B1616" s="2" t="s">
        <v>2007</v>
      </c>
      <c r="C1616" s="2" t="s">
        <v>2036</v>
      </c>
      <c r="D1616" s="3" t="str">
        <f t="shared" ref="D1616:D1617" si="67">HYPERLINK("https://12go.asia/en/travel/Mont-Saint-Michel-Transfer/Paris-Hotel-Transfer", "12Go Link")</f>
        <v>12Go Link</v>
      </c>
      <c r="E1616" s="2" t="s">
        <v>2006</v>
      </c>
    </row>
    <row r="1617">
      <c r="A1617" s="2" t="s">
        <v>2020</v>
      </c>
      <c r="B1617" s="2" t="s">
        <v>2007</v>
      </c>
      <c r="C1617" s="2" t="s">
        <v>2036</v>
      </c>
      <c r="D1617" s="3" t="str">
        <f t="shared" si="67"/>
        <v>12Go Link</v>
      </c>
      <c r="E1617" s="2" t="s">
        <v>14</v>
      </c>
    </row>
    <row r="1618">
      <c r="A1618" s="2" t="s">
        <v>2007</v>
      </c>
      <c r="B1618" s="2" t="s">
        <v>2003</v>
      </c>
      <c r="C1618" s="2" t="s">
        <v>2037</v>
      </c>
      <c r="D1618" s="3" t="str">
        <f t="shared" ref="D1618:D1619" si="68">HYPERLINK("https://12go.asia/en/travel/Paris-Hotel-Transfer/Bayeux-Hotel-Transfer", "12Go Link")</f>
        <v>12Go Link</v>
      </c>
      <c r="E1618" s="2" t="s">
        <v>2006</v>
      </c>
    </row>
    <row r="1619">
      <c r="A1619" s="2" t="s">
        <v>2007</v>
      </c>
      <c r="B1619" s="2" t="s">
        <v>2003</v>
      </c>
      <c r="C1619" s="2" t="s">
        <v>2037</v>
      </c>
      <c r="D1619" s="3" t="str">
        <f t="shared" si="68"/>
        <v>12Go Link</v>
      </c>
      <c r="E1619" s="2" t="s">
        <v>14</v>
      </c>
    </row>
    <row r="1620">
      <c r="A1620" s="2" t="s">
        <v>2007</v>
      </c>
      <c r="B1620" s="2" t="s">
        <v>2004</v>
      </c>
      <c r="C1620" s="2" t="s">
        <v>2038</v>
      </c>
      <c r="D1620" s="3" t="str">
        <f t="shared" ref="D1620:D1621" si="69">HYPERLINK("https://12go.asia/en/travel/Charles-de-Gaulle-Airport/Caen-Hotel-Transfer", "12Go Link")</f>
        <v>12Go Link</v>
      </c>
      <c r="E1620" s="2" t="s">
        <v>2006</v>
      </c>
    </row>
    <row r="1621">
      <c r="A1621" s="2" t="s">
        <v>2007</v>
      </c>
      <c r="B1621" s="2" t="s">
        <v>2004</v>
      </c>
      <c r="C1621" s="2" t="s">
        <v>2038</v>
      </c>
      <c r="D1621" s="3" t="str">
        <f t="shared" si="69"/>
        <v>12Go Link</v>
      </c>
      <c r="E1621" s="2" t="s">
        <v>14</v>
      </c>
    </row>
    <row r="1622">
      <c r="A1622" s="2" t="s">
        <v>2007</v>
      </c>
      <c r="B1622" s="2" t="s">
        <v>2004</v>
      </c>
      <c r="C1622" s="2" t="s">
        <v>2039</v>
      </c>
      <c r="D1622" s="3" t="str">
        <f t="shared" ref="D1622:D1623" si="70">HYPERLINK("https://12go.asia/en/travel/Paris-Hotel-Transfer/Caen-Hotel-Transfer", "12Go Link")</f>
        <v>12Go Link</v>
      </c>
      <c r="E1622" s="2" t="s">
        <v>2006</v>
      </c>
    </row>
    <row r="1623">
      <c r="A1623" s="2" t="s">
        <v>2007</v>
      </c>
      <c r="B1623" s="2" t="s">
        <v>2004</v>
      </c>
      <c r="C1623" s="2" t="s">
        <v>2039</v>
      </c>
      <c r="D1623" s="3" t="str">
        <f t="shared" si="70"/>
        <v>12Go Link</v>
      </c>
      <c r="E1623" s="2" t="s">
        <v>14</v>
      </c>
    </row>
    <row r="1624">
      <c r="A1624" s="2" t="s">
        <v>2007</v>
      </c>
      <c r="B1624" s="2" t="s">
        <v>2018</v>
      </c>
      <c r="C1624" s="2" t="s">
        <v>2040</v>
      </c>
      <c r="D1624" s="3" t="str">
        <f t="shared" ref="D1624:D1625" si="71">HYPERLINK("https://12go.asia/en/travel/Paris-Hotel-Transfer/Le-Havre-Hotel-Transfer", "12Go Link")</f>
        <v>12Go Link</v>
      </c>
      <c r="E1624" s="2" t="s">
        <v>2006</v>
      </c>
    </row>
    <row r="1625">
      <c r="A1625" s="2" t="s">
        <v>2007</v>
      </c>
      <c r="B1625" s="2" t="s">
        <v>2018</v>
      </c>
      <c r="C1625" s="2" t="s">
        <v>2040</v>
      </c>
      <c r="D1625" s="3" t="str">
        <f t="shared" si="71"/>
        <v>12Go Link</v>
      </c>
      <c r="E1625" s="2" t="s">
        <v>14</v>
      </c>
    </row>
    <row r="1626">
      <c r="A1626" s="2" t="s">
        <v>2007</v>
      </c>
      <c r="B1626" s="2" t="s">
        <v>2020</v>
      </c>
      <c r="C1626" s="2" t="s">
        <v>2041</v>
      </c>
      <c r="D1626" s="3" t="str">
        <f t="shared" ref="D1626:D1627" si="72">HYPERLINK("https://12go.asia/en/travel/Paris-Hotel-Transfer/Mont-Saint-Michel-Transfer", "12Go Link")</f>
        <v>12Go Link</v>
      </c>
      <c r="E1626" s="2" t="s">
        <v>2006</v>
      </c>
    </row>
    <row r="1627">
      <c r="A1627" s="2" t="s">
        <v>2007</v>
      </c>
      <c r="B1627" s="2" t="s">
        <v>2020</v>
      </c>
      <c r="C1627" s="2" t="s">
        <v>2041</v>
      </c>
      <c r="D1627" s="3" t="str">
        <f t="shared" si="72"/>
        <v>12Go Link</v>
      </c>
      <c r="E1627" s="2" t="s">
        <v>14</v>
      </c>
    </row>
    <row r="1628">
      <c r="A1628" s="2" t="s">
        <v>2007</v>
      </c>
      <c r="B1628" s="2" t="s">
        <v>2042</v>
      </c>
      <c r="C1628" s="2" t="s">
        <v>2043</v>
      </c>
      <c r="D1628" s="3" t="str">
        <f>HYPERLINK("https://12go.asia/en/travel/Paris-Disneyland/Roissy-en-France-Hotel-Transfer", "12Go Link")</f>
        <v>12Go Link</v>
      </c>
      <c r="E1628" s="2" t="s">
        <v>14</v>
      </c>
    </row>
    <row r="1629">
      <c r="A1629" s="2" t="s">
        <v>2007</v>
      </c>
      <c r="B1629" s="2" t="s">
        <v>2026</v>
      </c>
      <c r="C1629" s="2" t="s">
        <v>2044</v>
      </c>
      <c r="D1629" s="3" t="str">
        <f t="shared" ref="D1629:D1630" si="73">HYPERLINK("https://12go.asia/en/travel/Paris-Hotel-Transfer/Rouen-Hotel-Transfer", "12Go Link")</f>
        <v>12Go Link</v>
      </c>
      <c r="E1629" s="2" t="s">
        <v>2006</v>
      </c>
    </row>
    <row r="1630">
      <c r="A1630" s="2" t="s">
        <v>2007</v>
      </c>
      <c r="B1630" s="2" t="s">
        <v>2026</v>
      </c>
      <c r="C1630" s="2" t="s">
        <v>2044</v>
      </c>
      <c r="D1630" s="3" t="str">
        <f t="shared" si="73"/>
        <v>12Go Link</v>
      </c>
      <c r="E1630" s="2" t="s">
        <v>14</v>
      </c>
    </row>
    <row r="1631">
      <c r="A1631" s="2" t="s">
        <v>2009</v>
      </c>
      <c r="B1631" s="2" t="s">
        <v>2003</v>
      </c>
      <c r="C1631" s="2" t="s">
        <v>2045</v>
      </c>
      <c r="D1631" s="3" t="str">
        <f t="shared" ref="D1631:D1632" si="74">HYPERLINK("https://12go.asia/en/travel/Reims-Hotel-Transfer/Bayeux-Hotel-Transfer", "12Go Link")</f>
        <v>12Go Link</v>
      </c>
      <c r="E1631" s="2" t="s">
        <v>2006</v>
      </c>
    </row>
    <row r="1632">
      <c r="A1632" s="2" t="s">
        <v>2009</v>
      </c>
      <c r="B1632" s="2" t="s">
        <v>2003</v>
      </c>
      <c r="C1632" s="2" t="s">
        <v>2045</v>
      </c>
      <c r="D1632" s="3" t="str">
        <f t="shared" si="74"/>
        <v>12Go Link</v>
      </c>
      <c r="E1632" s="2" t="s">
        <v>14</v>
      </c>
    </row>
    <row r="1633">
      <c r="A1633" s="2" t="s">
        <v>2024</v>
      </c>
      <c r="B1633" s="2" t="s">
        <v>2004</v>
      </c>
      <c r="C1633" s="2" t="s">
        <v>2046</v>
      </c>
      <c r="D1633" s="3" t="str">
        <f t="shared" ref="D1633:D1634" si="75">HYPERLINK("https://12go.asia/en/travel/Rennes-Hotel-Transfer/Caen-Hotel-Transfer", "12Go Link")</f>
        <v>12Go Link</v>
      </c>
      <c r="E1633" s="2" t="s">
        <v>2006</v>
      </c>
    </row>
    <row r="1634">
      <c r="A1634" s="2" t="s">
        <v>2024</v>
      </c>
      <c r="B1634" s="2" t="s">
        <v>2004</v>
      </c>
      <c r="C1634" s="2" t="s">
        <v>2046</v>
      </c>
      <c r="D1634" s="3" t="str">
        <f t="shared" si="75"/>
        <v>12Go Link</v>
      </c>
      <c r="E1634" s="2" t="s">
        <v>14</v>
      </c>
    </row>
    <row r="1635">
      <c r="A1635" s="2" t="s">
        <v>2042</v>
      </c>
      <c r="B1635" s="2" t="s">
        <v>2007</v>
      </c>
      <c r="C1635" s="2" t="s">
        <v>2047</v>
      </c>
      <c r="D1635" s="3" t="str">
        <f>HYPERLINK("https://12go.asia/en/travel/Roissy-en-France-Hotel-Transfer/Paris-Disneyland", "12Go Link")</f>
        <v>12Go Link</v>
      </c>
      <c r="E1635" s="2" t="s">
        <v>14</v>
      </c>
    </row>
    <row r="1636">
      <c r="A1636" s="2" t="s">
        <v>2026</v>
      </c>
      <c r="B1636" s="2" t="s">
        <v>2004</v>
      </c>
      <c r="C1636" s="2" t="s">
        <v>2048</v>
      </c>
      <c r="D1636" s="3" t="str">
        <f t="shared" ref="D1636:D1637" si="76">HYPERLINK("https://12go.asia/en/travel/Rouen-Hotel-Transfer/Caen-Hotel-Transfer", "12Go Link")</f>
        <v>12Go Link</v>
      </c>
      <c r="E1636" s="2" t="s">
        <v>2006</v>
      </c>
    </row>
    <row r="1637">
      <c r="A1637" s="2" t="s">
        <v>2026</v>
      </c>
      <c r="B1637" s="2" t="s">
        <v>2004</v>
      </c>
      <c r="C1637" s="2" t="s">
        <v>2048</v>
      </c>
      <c r="D1637" s="3" t="str">
        <f t="shared" si="76"/>
        <v>12Go Link</v>
      </c>
      <c r="E1637" s="2" t="s">
        <v>14</v>
      </c>
    </row>
    <row r="1638">
      <c r="A1638" s="2" t="s">
        <v>2026</v>
      </c>
      <c r="B1638" s="2" t="s">
        <v>2007</v>
      </c>
      <c r="C1638" s="2" t="s">
        <v>2049</v>
      </c>
      <c r="D1638" s="3" t="str">
        <f t="shared" ref="D1638:D1639" si="77">HYPERLINK("https://12go.asia/en/travel/Rouen-Hotel-Transfer/Paris-Hotel-Transfer", "12Go Link")</f>
        <v>12Go Link</v>
      </c>
      <c r="E1638" s="2" t="s">
        <v>2006</v>
      </c>
    </row>
    <row r="1639">
      <c r="A1639" s="2" t="s">
        <v>2026</v>
      </c>
      <c r="B1639" s="2" t="s">
        <v>2007</v>
      </c>
      <c r="C1639" s="2" t="s">
        <v>2049</v>
      </c>
      <c r="D1639" s="3" t="str">
        <f t="shared" si="77"/>
        <v>12Go Link</v>
      </c>
      <c r="E1639" s="2" t="s">
        <v>14</v>
      </c>
    </row>
    <row r="1640">
      <c r="A1640" s="2" t="s">
        <v>2028</v>
      </c>
      <c r="B1640" s="2" t="s">
        <v>2004</v>
      </c>
      <c r="C1640" s="2" t="s">
        <v>2050</v>
      </c>
      <c r="D1640" s="3" t="str">
        <f t="shared" ref="D1640:D1641" si="78">HYPERLINK("https://12go.asia/en/travel/Saint-Malo-Hotel-Transfer/Caen-Hotel-Transfer", "12Go Link")</f>
        <v>12Go Link</v>
      </c>
      <c r="E1640" s="2" t="s">
        <v>2006</v>
      </c>
    </row>
    <row r="1641">
      <c r="A1641" s="2" t="s">
        <v>2028</v>
      </c>
      <c r="B1641" s="2" t="s">
        <v>2004</v>
      </c>
      <c r="C1641" s="2" t="s">
        <v>2050</v>
      </c>
      <c r="D1641" s="3" t="str">
        <f t="shared" si="78"/>
        <v>12Go Link</v>
      </c>
      <c r="E1641" s="2" t="s">
        <v>14</v>
      </c>
    </row>
    <row r="1642">
      <c r="A1642" s="2" t="s">
        <v>2051</v>
      </c>
      <c r="B1642" s="2" t="s">
        <v>10</v>
      </c>
      <c r="C1642" s="2" t="s">
        <v>2052</v>
      </c>
      <c r="D1642" s="3" t="str">
        <f t="shared" ref="D1642:D1644" si="79">HYPERLINK("https://12go.asia/en/travel/Akhalkalaki-Hotel-Transfer/Batumi-Airport", "12Go Link")</f>
        <v>12Go Link</v>
      </c>
      <c r="E1642" s="2" t="s">
        <v>12</v>
      </c>
    </row>
    <row r="1643">
      <c r="A1643" s="2" t="s">
        <v>2051</v>
      </c>
      <c r="B1643" s="2" t="s">
        <v>10</v>
      </c>
      <c r="C1643" s="2" t="s">
        <v>2052</v>
      </c>
      <c r="D1643" s="3" t="str">
        <f t="shared" si="79"/>
        <v>12Go Link</v>
      </c>
      <c r="E1643" s="2" t="s">
        <v>13</v>
      </c>
    </row>
    <row r="1644">
      <c r="A1644" s="2" t="s">
        <v>2051</v>
      </c>
      <c r="B1644" s="2" t="s">
        <v>10</v>
      </c>
      <c r="C1644" s="2" t="s">
        <v>2052</v>
      </c>
      <c r="D1644" s="3" t="str">
        <f t="shared" si="79"/>
        <v>12Go Link</v>
      </c>
      <c r="E1644" s="2" t="s">
        <v>14</v>
      </c>
    </row>
    <row r="1645">
      <c r="A1645" s="2" t="s">
        <v>2051</v>
      </c>
      <c r="B1645" s="2" t="s">
        <v>10</v>
      </c>
      <c r="C1645" s="2" t="s">
        <v>2053</v>
      </c>
      <c r="D1645" s="3" t="str">
        <f t="shared" ref="D1645:D1647" si="80">HYPERLINK("https://12go.asia/en/travel/Akhalkalaki-Hotel-Transfer/Batumi-Hotel-Transfer", "12Go Link")</f>
        <v>12Go Link</v>
      </c>
      <c r="E1645" s="2" t="s">
        <v>12</v>
      </c>
    </row>
    <row r="1646">
      <c r="A1646" s="2" t="s">
        <v>2051</v>
      </c>
      <c r="B1646" s="2" t="s">
        <v>10</v>
      </c>
      <c r="C1646" s="2" t="s">
        <v>2053</v>
      </c>
      <c r="D1646" s="3" t="str">
        <f t="shared" si="80"/>
        <v>12Go Link</v>
      </c>
      <c r="E1646" s="2" t="s">
        <v>13</v>
      </c>
    </row>
    <row r="1647">
      <c r="A1647" s="2" t="s">
        <v>2051</v>
      </c>
      <c r="B1647" s="2" t="s">
        <v>10</v>
      </c>
      <c r="C1647" s="2" t="s">
        <v>2053</v>
      </c>
      <c r="D1647" s="3" t="str">
        <f t="shared" si="80"/>
        <v>12Go Link</v>
      </c>
      <c r="E1647" s="2" t="s">
        <v>14</v>
      </c>
    </row>
    <row r="1648">
      <c r="A1648" s="2" t="s">
        <v>2051</v>
      </c>
      <c r="B1648" s="2" t="s">
        <v>16</v>
      </c>
      <c r="C1648" s="2" t="s">
        <v>2054</v>
      </c>
      <c r="D1648" s="3" t="str">
        <f t="shared" ref="D1648:D1650" si="81">HYPERLINK("https://12go.asia/en/travel/Akhalkalaki-Hotel-Transfer/Kutaisi-Airport", "12Go Link")</f>
        <v>12Go Link</v>
      </c>
      <c r="E1648" s="2" t="s">
        <v>12</v>
      </c>
    </row>
    <row r="1649">
      <c r="A1649" s="2" t="s">
        <v>2051</v>
      </c>
      <c r="B1649" s="2" t="s">
        <v>16</v>
      </c>
      <c r="C1649" s="2" t="s">
        <v>2054</v>
      </c>
      <c r="D1649" s="3" t="str">
        <f t="shared" si="81"/>
        <v>12Go Link</v>
      </c>
      <c r="E1649" s="2" t="s">
        <v>13</v>
      </c>
    </row>
    <row r="1650">
      <c r="A1650" s="2" t="s">
        <v>2051</v>
      </c>
      <c r="B1650" s="2" t="s">
        <v>16</v>
      </c>
      <c r="C1650" s="2" t="s">
        <v>2054</v>
      </c>
      <c r="D1650" s="3" t="str">
        <f t="shared" si="81"/>
        <v>12Go Link</v>
      </c>
      <c r="E1650" s="2" t="s">
        <v>14</v>
      </c>
    </row>
    <row r="1651">
      <c r="A1651" s="2" t="s">
        <v>2051</v>
      </c>
      <c r="B1651" s="2" t="s">
        <v>16</v>
      </c>
      <c r="C1651" s="2" t="s">
        <v>2055</v>
      </c>
      <c r="D1651" s="3" t="str">
        <f t="shared" ref="D1651:D1653" si="82">HYPERLINK("https://12go.asia/en/travel/Akhalkalaki-Hotel-Transfer/Kutaisi-Hotel-Transfer", "12Go Link")</f>
        <v>12Go Link</v>
      </c>
      <c r="E1651" s="2" t="s">
        <v>12</v>
      </c>
    </row>
    <row r="1652">
      <c r="A1652" s="2" t="s">
        <v>2051</v>
      </c>
      <c r="B1652" s="2" t="s">
        <v>16</v>
      </c>
      <c r="C1652" s="2" t="s">
        <v>2055</v>
      </c>
      <c r="D1652" s="3" t="str">
        <f t="shared" si="82"/>
        <v>12Go Link</v>
      </c>
      <c r="E1652" s="2" t="s">
        <v>13</v>
      </c>
    </row>
    <row r="1653">
      <c r="A1653" s="2" t="s">
        <v>2051</v>
      </c>
      <c r="B1653" s="2" t="s">
        <v>16</v>
      </c>
      <c r="C1653" s="2" t="s">
        <v>2055</v>
      </c>
      <c r="D1653" s="3" t="str">
        <f t="shared" si="82"/>
        <v>12Go Link</v>
      </c>
      <c r="E1653" s="2" t="s">
        <v>14</v>
      </c>
    </row>
    <row r="1654">
      <c r="A1654" s="2" t="s">
        <v>2051</v>
      </c>
      <c r="B1654" s="2" t="s">
        <v>6</v>
      </c>
      <c r="C1654" s="2" t="s">
        <v>2056</v>
      </c>
      <c r="D1654" s="3" t="str">
        <f t="shared" ref="D1654:D1656" si="83">HYPERLINK("https://12go.asia/en/travel/Akhalkalaki-Hotel-Transfer/Tbilisi-Airport", "12Go Link")</f>
        <v>12Go Link</v>
      </c>
      <c r="E1654" s="2" t="s">
        <v>12</v>
      </c>
    </row>
    <row r="1655">
      <c r="A1655" s="2" t="s">
        <v>2051</v>
      </c>
      <c r="B1655" s="2" t="s">
        <v>6</v>
      </c>
      <c r="C1655" s="2" t="s">
        <v>2056</v>
      </c>
      <c r="D1655" s="3" t="str">
        <f t="shared" si="83"/>
        <v>12Go Link</v>
      </c>
      <c r="E1655" s="2" t="s">
        <v>13</v>
      </c>
    </row>
    <row r="1656">
      <c r="A1656" s="2" t="s">
        <v>2051</v>
      </c>
      <c r="B1656" s="2" t="s">
        <v>6</v>
      </c>
      <c r="C1656" s="2" t="s">
        <v>2056</v>
      </c>
      <c r="D1656" s="3" t="str">
        <f t="shared" si="83"/>
        <v>12Go Link</v>
      </c>
      <c r="E1656" s="2" t="s">
        <v>14</v>
      </c>
    </row>
    <row r="1657">
      <c r="A1657" s="2" t="s">
        <v>2051</v>
      </c>
      <c r="B1657" s="2" t="s">
        <v>6</v>
      </c>
      <c r="C1657" s="2" t="s">
        <v>2057</v>
      </c>
      <c r="D1657" s="3" t="str">
        <f t="shared" ref="D1657:D1659" si="84">HYPERLINK("https://12go.asia/en/travel/Akhalkalaki-Hotel-Transfer/Tbilisi-Hotel-Transfer", "12Go Link")</f>
        <v>12Go Link</v>
      </c>
      <c r="E1657" s="2" t="s">
        <v>12</v>
      </c>
    </row>
    <row r="1658">
      <c r="A1658" s="2" t="s">
        <v>2051</v>
      </c>
      <c r="B1658" s="2" t="s">
        <v>6</v>
      </c>
      <c r="C1658" s="2" t="s">
        <v>2057</v>
      </c>
      <c r="D1658" s="3" t="str">
        <f t="shared" si="84"/>
        <v>12Go Link</v>
      </c>
      <c r="E1658" s="2" t="s">
        <v>13</v>
      </c>
    </row>
    <row r="1659">
      <c r="A1659" s="2" t="s">
        <v>2051</v>
      </c>
      <c r="B1659" s="2" t="s">
        <v>6</v>
      </c>
      <c r="C1659" s="2" t="s">
        <v>2057</v>
      </c>
      <c r="D1659" s="3" t="str">
        <f t="shared" si="84"/>
        <v>12Go Link</v>
      </c>
      <c r="E1659" s="2" t="s">
        <v>14</v>
      </c>
    </row>
    <row r="1660">
      <c r="A1660" s="2" t="s">
        <v>2058</v>
      </c>
      <c r="B1660" s="2" t="s">
        <v>10</v>
      </c>
      <c r="C1660" s="2" t="s">
        <v>2059</v>
      </c>
      <c r="D1660" s="3" t="str">
        <f t="shared" ref="D1660:D1662" si="85">HYPERLINK("https://12go.asia/en/travel/Akhaltsikhe-Hotel-Transfer/Batumi-Airport", "12Go Link")</f>
        <v>12Go Link</v>
      </c>
      <c r="E1660" s="2" t="s">
        <v>12</v>
      </c>
    </row>
    <row r="1661">
      <c r="A1661" s="2" t="s">
        <v>2058</v>
      </c>
      <c r="B1661" s="2" t="s">
        <v>10</v>
      </c>
      <c r="C1661" s="2" t="s">
        <v>2059</v>
      </c>
      <c r="D1661" s="3" t="str">
        <f t="shared" si="85"/>
        <v>12Go Link</v>
      </c>
      <c r="E1661" s="2" t="s">
        <v>13</v>
      </c>
    </row>
    <row r="1662">
      <c r="A1662" s="2" t="s">
        <v>2058</v>
      </c>
      <c r="B1662" s="2" t="s">
        <v>10</v>
      </c>
      <c r="C1662" s="2" t="s">
        <v>2059</v>
      </c>
      <c r="D1662" s="3" t="str">
        <f t="shared" si="85"/>
        <v>12Go Link</v>
      </c>
      <c r="E1662" s="2" t="s">
        <v>14</v>
      </c>
    </row>
    <row r="1663">
      <c r="A1663" s="2" t="s">
        <v>2058</v>
      </c>
      <c r="B1663" s="2" t="s">
        <v>10</v>
      </c>
      <c r="C1663" s="2" t="s">
        <v>2060</v>
      </c>
      <c r="D1663" s="3" t="str">
        <f t="shared" ref="D1663:D1665" si="86">HYPERLINK("https://12go.asia/en/travel/Akhaltsikhe-Hotel-Transfer/Batumi-Hotel-Transfer", "12Go Link")</f>
        <v>12Go Link</v>
      </c>
      <c r="E1663" s="2" t="s">
        <v>12</v>
      </c>
    </row>
    <row r="1664">
      <c r="A1664" s="2" t="s">
        <v>2058</v>
      </c>
      <c r="B1664" s="2" t="s">
        <v>10</v>
      </c>
      <c r="C1664" s="2" t="s">
        <v>2060</v>
      </c>
      <c r="D1664" s="3" t="str">
        <f t="shared" si="86"/>
        <v>12Go Link</v>
      </c>
      <c r="E1664" s="2" t="s">
        <v>13</v>
      </c>
    </row>
    <row r="1665">
      <c r="A1665" s="2" t="s">
        <v>2058</v>
      </c>
      <c r="B1665" s="2" t="s">
        <v>10</v>
      </c>
      <c r="C1665" s="2" t="s">
        <v>2060</v>
      </c>
      <c r="D1665" s="3" t="str">
        <f t="shared" si="86"/>
        <v>12Go Link</v>
      </c>
      <c r="E1665" s="2" t="s">
        <v>14</v>
      </c>
    </row>
    <row r="1666">
      <c r="A1666" s="2" t="s">
        <v>2058</v>
      </c>
      <c r="B1666" s="2" t="s">
        <v>16</v>
      </c>
      <c r="C1666" s="2" t="s">
        <v>2061</v>
      </c>
      <c r="D1666" s="3" t="str">
        <f t="shared" ref="D1666:D1668" si="87">HYPERLINK("https://12go.asia/en/travel/Akhaltsikhe-Hotel-Transfer/Kutaisi-Airport", "12Go Link")</f>
        <v>12Go Link</v>
      </c>
      <c r="E1666" s="2" t="s">
        <v>12</v>
      </c>
    </row>
    <row r="1667">
      <c r="A1667" s="2" t="s">
        <v>2058</v>
      </c>
      <c r="B1667" s="2" t="s">
        <v>16</v>
      </c>
      <c r="C1667" s="2" t="s">
        <v>2061</v>
      </c>
      <c r="D1667" s="3" t="str">
        <f t="shared" si="87"/>
        <v>12Go Link</v>
      </c>
      <c r="E1667" s="2" t="s">
        <v>13</v>
      </c>
    </row>
    <row r="1668">
      <c r="A1668" s="2" t="s">
        <v>2058</v>
      </c>
      <c r="B1668" s="2" t="s">
        <v>16</v>
      </c>
      <c r="C1668" s="2" t="s">
        <v>2061</v>
      </c>
      <c r="D1668" s="3" t="str">
        <f t="shared" si="87"/>
        <v>12Go Link</v>
      </c>
      <c r="E1668" s="2" t="s">
        <v>14</v>
      </c>
    </row>
    <row r="1669">
      <c r="A1669" s="2" t="s">
        <v>2058</v>
      </c>
      <c r="B1669" s="2" t="s">
        <v>16</v>
      </c>
      <c r="C1669" s="2" t="s">
        <v>2062</v>
      </c>
      <c r="D1669" s="3" t="str">
        <f t="shared" ref="D1669:D1671" si="88">HYPERLINK("https://12go.asia/en/travel/Akhaltsikhe-Hotel-Transfer/Kutaisi-Hotel-Transfer", "12Go Link")</f>
        <v>12Go Link</v>
      </c>
      <c r="E1669" s="2" t="s">
        <v>12</v>
      </c>
    </row>
    <row r="1670">
      <c r="A1670" s="2" t="s">
        <v>2058</v>
      </c>
      <c r="B1670" s="2" t="s">
        <v>16</v>
      </c>
      <c r="C1670" s="2" t="s">
        <v>2062</v>
      </c>
      <c r="D1670" s="3" t="str">
        <f t="shared" si="88"/>
        <v>12Go Link</v>
      </c>
      <c r="E1670" s="2" t="s">
        <v>13</v>
      </c>
    </row>
    <row r="1671">
      <c r="A1671" s="2" t="s">
        <v>2058</v>
      </c>
      <c r="B1671" s="2" t="s">
        <v>16</v>
      </c>
      <c r="C1671" s="2" t="s">
        <v>2062</v>
      </c>
      <c r="D1671" s="3" t="str">
        <f t="shared" si="88"/>
        <v>12Go Link</v>
      </c>
      <c r="E1671" s="2" t="s">
        <v>14</v>
      </c>
    </row>
    <row r="1672">
      <c r="A1672" s="2" t="s">
        <v>2058</v>
      </c>
      <c r="B1672" s="2" t="s">
        <v>6</v>
      </c>
      <c r="C1672" s="2" t="s">
        <v>2063</v>
      </c>
      <c r="D1672" s="3" t="str">
        <f t="shared" ref="D1672:D1674" si="89">HYPERLINK("https://12go.asia/en/travel/Akhaltsikhe-Hotel-Transfer/Tbilisi-Airport", "12Go Link")</f>
        <v>12Go Link</v>
      </c>
      <c r="E1672" s="2" t="s">
        <v>12</v>
      </c>
    </row>
    <row r="1673">
      <c r="A1673" s="2" t="s">
        <v>2058</v>
      </c>
      <c r="B1673" s="2" t="s">
        <v>6</v>
      </c>
      <c r="C1673" s="2" t="s">
        <v>2063</v>
      </c>
      <c r="D1673" s="3" t="str">
        <f t="shared" si="89"/>
        <v>12Go Link</v>
      </c>
      <c r="E1673" s="2" t="s">
        <v>13</v>
      </c>
    </row>
    <row r="1674">
      <c r="A1674" s="2" t="s">
        <v>2058</v>
      </c>
      <c r="B1674" s="2" t="s">
        <v>6</v>
      </c>
      <c r="C1674" s="2" t="s">
        <v>2063</v>
      </c>
      <c r="D1674" s="3" t="str">
        <f t="shared" si="89"/>
        <v>12Go Link</v>
      </c>
      <c r="E1674" s="2" t="s">
        <v>14</v>
      </c>
    </row>
    <row r="1675">
      <c r="A1675" s="2" t="s">
        <v>2058</v>
      </c>
      <c r="B1675" s="2" t="s">
        <v>6</v>
      </c>
      <c r="C1675" s="2" t="s">
        <v>2064</v>
      </c>
      <c r="D1675" s="3" t="str">
        <f t="shared" ref="D1675:D1677" si="90">HYPERLINK("https://12go.asia/en/travel/Akhaltsikhe-Hotel-Transfer/Tbilisi-Hotel-Transfer", "12Go Link")</f>
        <v>12Go Link</v>
      </c>
      <c r="E1675" s="2" t="s">
        <v>12</v>
      </c>
    </row>
    <row r="1676">
      <c r="A1676" s="2" t="s">
        <v>2058</v>
      </c>
      <c r="B1676" s="2" t="s">
        <v>6</v>
      </c>
      <c r="C1676" s="2" t="s">
        <v>2064</v>
      </c>
      <c r="D1676" s="3" t="str">
        <f t="shared" si="90"/>
        <v>12Go Link</v>
      </c>
      <c r="E1676" s="2" t="s">
        <v>13</v>
      </c>
    </row>
    <row r="1677">
      <c r="A1677" s="2" t="s">
        <v>2058</v>
      </c>
      <c r="B1677" s="2" t="s">
        <v>6</v>
      </c>
      <c r="C1677" s="2" t="s">
        <v>2064</v>
      </c>
      <c r="D1677" s="3" t="str">
        <f t="shared" si="90"/>
        <v>12Go Link</v>
      </c>
      <c r="E1677" s="2" t="s">
        <v>14</v>
      </c>
    </row>
    <row r="1678">
      <c r="A1678" s="2" t="s">
        <v>10</v>
      </c>
      <c r="B1678" s="2" t="s">
        <v>9</v>
      </c>
      <c r="C1678" s="2" t="s">
        <v>2065</v>
      </c>
      <c r="D1678" s="3" t="str">
        <f t="shared" ref="D1678:D1680" si="91">HYPERLINK("https://12go.asia/en/travel/Batumi-Airport/Yerevan-Hotel-Transfer", "12Go Link")</f>
        <v>12Go Link</v>
      </c>
      <c r="E1678" s="2" t="s">
        <v>12</v>
      </c>
    </row>
    <row r="1679">
      <c r="A1679" s="2" t="s">
        <v>10</v>
      </c>
      <c r="B1679" s="2" t="s">
        <v>9</v>
      </c>
      <c r="C1679" s="2" t="s">
        <v>2065</v>
      </c>
      <c r="D1679" s="3" t="str">
        <f t="shared" si="91"/>
        <v>12Go Link</v>
      </c>
      <c r="E1679" s="2" t="s">
        <v>13</v>
      </c>
    </row>
    <row r="1680">
      <c r="A1680" s="2" t="s">
        <v>10</v>
      </c>
      <c r="B1680" s="2" t="s">
        <v>9</v>
      </c>
      <c r="C1680" s="2" t="s">
        <v>2065</v>
      </c>
      <c r="D1680" s="3" t="str">
        <f t="shared" si="91"/>
        <v>12Go Link</v>
      </c>
      <c r="E1680" s="2" t="s">
        <v>14</v>
      </c>
    </row>
    <row r="1681">
      <c r="A1681" s="2" t="s">
        <v>10</v>
      </c>
      <c r="B1681" s="2" t="s">
        <v>9</v>
      </c>
      <c r="C1681" s="2" t="s">
        <v>2066</v>
      </c>
      <c r="D1681" s="3" t="str">
        <f t="shared" ref="D1681:D1683" si="92">HYPERLINK("https://12go.asia/en/travel/Batumi-Hotel-Transfer/Yerevan-Hotel-Transfer", "12Go Link")</f>
        <v>12Go Link</v>
      </c>
      <c r="E1681" s="2" t="s">
        <v>12</v>
      </c>
    </row>
    <row r="1682">
      <c r="A1682" s="2" t="s">
        <v>10</v>
      </c>
      <c r="B1682" s="2" t="s">
        <v>9</v>
      </c>
      <c r="C1682" s="2" t="s">
        <v>2066</v>
      </c>
      <c r="D1682" s="3" t="str">
        <f t="shared" si="92"/>
        <v>12Go Link</v>
      </c>
      <c r="E1682" s="2" t="s">
        <v>13</v>
      </c>
    </row>
    <row r="1683">
      <c r="A1683" s="2" t="s">
        <v>10</v>
      </c>
      <c r="B1683" s="2" t="s">
        <v>9</v>
      </c>
      <c r="C1683" s="2" t="s">
        <v>2066</v>
      </c>
      <c r="D1683" s="3" t="str">
        <f t="shared" si="92"/>
        <v>12Go Link</v>
      </c>
      <c r="E1683" s="2" t="s">
        <v>14</v>
      </c>
    </row>
    <row r="1684">
      <c r="A1684" s="2" t="s">
        <v>10</v>
      </c>
      <c r="B1684" s="2" t="s">
        <v>2051</v>
      </c>
      <c r="C1684" s="2" t="s">
        <v>2067</v>
      </c>
      <c r="D1684" s="3" t="str">
        <f t="shared" ref="D1684:D1686" si="93">HYPERLINK("https://12go.asia/en/travel/Batumi-Airport/Akhalkalaki-Hotel-Transfer", "12Go Link")</f>
        <v>12Go Link</v>
      </c>
      <c r="E1684" s="2" t="s">
        <v>12</v>
      </c>
    </row>
    <row r="1685">
      <c r="A1685" s="2" t="s">
        <v>10</v>
      </c>
      <c r="B1685" s="2" t="s">
        <v>2051</v>
      </c>
      <c r="C1685" s="2" t="s">
        <v>2067</v>
      </c>
      <c r="D1685" s="3" t="str">
        <f t="shared" si="93"/>
        <v>12Go Link</v>
      </c>
      <c r="E1685" s="2" t="s">
        <v>13</v>
      </c>
    </row>
    <row r="1686">
      <c r="A1686" s="2" t="s">
        <v>10</v>
      </c>
      <c r="B1686" s="2" t="s">
        <v>2051</v>
      </c>
      <c r="C1686" s="2" t="s">
        <v>2067</v>
      </c>
      <c r="D1686" s="3" t="str">
        <f t="shared" si="93"/>
        <v>12Go Link</v>
      </c>
      <c r="E1686" s="2" t="s">
        <v>14</v>
      </c>
    </row>
    <row r="1687">
      <c r="A1687" s="2" t="s">
        <v>10</v>
      </c>
      <c r="B1687" s="2" t="s">
        <v>2051</v>
      </c>
      <c r="C1687" s="2" t="s">
        <v>2068</v>
      </c>
      <c r="D1687" s="3" t="str">
        <f t="shared" ref="D1687:D1689" si="94">HYPERLINK("https://12go.asia/en/travel/Batumi-Hotel-Transfer/Akhalkalaki-Hotel-Transfer", "12Go Link")</f>
        <v>12Go Link</v>
      </c>
      <c r="E1687" s="2" t="s">
        <v>12</v>
      </c>
    </row>
    <row r="1688">
      <c r="A1688" s="2" t="s">
        <v>10</v>
      </c>
      <c r="B1688" s="2" t="s">
        <v>2051</v>
      </c>
      <c r="C1688" s="2" t="s">
        <v>2068</v>
      </c>
      <c r="D1688" s="3" t="str">
        <f t="shared" si="94"/>
        <v>12Go Link</v>
      </c>
      <c r="E1688" s="2" t="s">
        <v>13</v>
      </c>
    </row>
    <row r="1689">
      <c r="A1689" s="2" t="s">
        <v>10</v>
      </c>
      <c r="B1689" s="2" t="s">
        <v>2051</v>
      </c>
      <c r="C1689" s="2" t="s">
        <v>2068</v>
      </c>
      <c r="D1689" s="3" t="str">
        <f t="shared" si="94"/>
        <v>12Go Link</v>
      </c>
      <c r="E1689" s="2" t="s">
        <v>14</v>
      </c>
    </row>
    <row r="1690">
      <c r="A1690" s="2" t="s">
        <v>10</v>
      </c>
      <c r="B1690" s="2" t="s">
        <v>2058</v>
      </c>
      <c r="C1690" s="2" t="s">
        <v>2069</v>
      </c>
      <c r="D1690" s="3" t="str">
        <f t="shared" ref="D1690:D1692" si="95">HYPERLINK("https://12go.asia/en/travel/Batumi-Airport/Akhaltsikhe-Hotel-Transfer", "12Go Link")</f>
        <v>12Go Link</v>
      </c>
      <c r="E1690" s="2" t="s">
        <v>12</v>
      </c>
    </row>
    <row r="1691">
      <c r="A1691" s="2" t="s">
        <v>10</v>
      </c>
      <c r="B1691" s="2" t="s">
        <v>2058</v>
      </c>
      <c r="C1691" s="2" t="s">
        <v>2069</v>
      </c>
      <c r="D1691" s="3" t="str">
        <f t="shared" si="95"/>
        <v>12Go Link</v>
      </c>
      <c r="E1691" s="2" t="s">
        <v>13</v>
      </c>
    </row>
    <row r="1692">
      <c r="A1692" s="2" t="s">
        <v>10</v>
      </c>
      <c r="B1692" s="2" t="s">
        <v>2058</v>
      </c>
      <c r="C1692" s="2" t="s">
        <v>2069</v>
      </c>
      <c r="D1692" s="3" t="str">
        <f t="shared" si="95"/>
        <v>12Go Link</v>
      </c>
      <c r="E1692" s="2" t="s">
        <v>14</v>
      </c>
    </row>
    <row r="1693">
      <c r="A1693" s="2" t="s">
        <v>10</v>
      </c>
      <c r="B1693" s="2" t="s">
        <v>2058</v>
      </c>
      <c r="C1693" s="2" t="s">
        <v>2070</v>
      </c>
      <c r="D1693" s="3" t="str">
        <f t="shared" ref="D1693:D1695" si="96">HYPERLINK("https://12go.asia/en/travel/Batumi-Hotel-Transfer/Akhaltsikhe-Hotel-Transfer", "12Go Link")</f>
        <v>12Go Link</v>
      </c>
      <c r="E1693" s="2" t="s">
        <v>12</v>
      </c>
    </row>
    <row r="1694">
      <c r="A1694" s="2" t="s">
        <v>10</v>
      </c>
      <c r="B1694" s="2" t="s">
        <v>2058</v>
      </c>
      <c r="C1694" s="2" t="s">
        <v>2070</v>
      </c>
      <c r="D1694" s="3" t="str">
        <f t="shared" si="96"/>
        <v>12Go Link</v>
      </c>
      <c r="E1694" s="2" t="s">
        <v>13</v>
      </c>
    </row>
    <row r="1695">
      <c r="A1695" s="2" t="s">
        <v>10</v>
      </c>
      <c r="B1695" s="2" t="s">
        <v>2058</v>
      </c>
      <c r="C1695" s="2" t="s">
        <v>2070</v>
      </c>
      <c r="D1695" s="3" t="str">
        <f t="shared" si="96"/>
        <v>12Go Link</v>
      </c>
      <c r="E1695" s="2" t="s">
        <v>14</v>
      </c>
    </row>
    <row r="1696">
      <c r="A1696" s="2" t="s">
        <v>10</v>
      </c>
      <c r="B1696" s="2" t="s">
        <v>10</v>
      </c>
      <c r="C1696" s="2" t="s">
        <v>2071</v>
      </c>
      <c r="D1696" s="3" t="str">
        <f t="shared" ref="D1696:D1698" si="97">HYPERLINK("https://12go.asia/en/travel/Batumi-Airport/Batumi-Hotel-Transfer", "12Go Link")</f>
        <v>12Go Link</v>
      </c>
      <c r="E1696" s="2" t="s">
        <v>12</v>
      </c>
    </row>
    <row r="1697">
      <c r="A1697" s="2" t="s">
        <v>10</v>
      </c>
      <c r="B1697" s="2" t="s">
        <v>10</v>
      </c>
      <c r="C1697" s="2" t="s">
        <v>2071</v>
      </c>
      <c r="D1697" s="3" t="str">
        <f t="shared" si="97"/>
        <v>12Go Link</v>
      </c>
      <c r="E1697" s="2" t="s">
        <v>13</v>
      </c>
    </row>
    <row r="1698">
      <c r="A1698" s="2" t="s">
        <v>10</v>
      </c>
      <c r="B1698" s="2" t="s">
        <v>10</v>
      </c>
      <c r="C1698" s="2" t="s">
        <v>2071</v>
      </c>
      <c r="D1698" s="3" t="str">
        <f t="shared" si="97"/>
        <v>12Go Link</v>
      </c>
      <c r="E1698" s="2" t="s">
        <v>14</v>
      </c>
    </row>
    <row r="1699">
      <c r="A1699" s="2" t="s">
        <v>10</v>
      </c>
      <c r="B1699" s="2" t="s">
        <v>10</v>
      </c>
      <c r="C1699" s="2" t="s">
        <v>2072</v>
      </c>
      <c r="D1699" s="3" t="str">
        <f t="shared" ref="D1699:D1701" si="98">HYPERLINK("https://12go.asia/en/travel/Batumi-Hotel-Transfer/Batumi-Airport", "12Go Link")</f>
        <v>12Go Link</v>
      </c>
      <c r="E1699" s="2" t="s">
        <v>12</v>
      </c>
    </row>
    <row r="1700">
      <c r="A1700" s="2" t="s">
        <v>10</v>
      </c>
      <c r="B1700" s="2" t="s">
        <v>10</v>
      </c>
      <c r="C1700" s="2" t="s">
        <v>2072</v>
      </c>
      <c r="D1700" s="3" t="str">
        <f t="shared" si="98"/>
        <v>12Go Link</v>
      </c>
      <c r="E1700" s="2" t="s">
        <v>13</v>
      </c>
    </row>
    <row r="1701">
      <c r="A1701" s="2" t="s">
        <v>10</v>
      </c>
      <c r="B1701" s="2" t="s">
        <v>10</v>
      </c>
      <c r="C1701" s="2" t="s">
        <v>2072</v>
      </c>
      <c r="D1701" s="3" t="str">
        <f t="shared" si="98"/>
        <v>12Go Link</v>
      </c>
      <c r="E1701" s="2" t="s">
        <v>14</v>
      </c>
    </row>
    <row r="1702">
      <c r="A1702" s="2" t="s">
        <v>10</v>
      </c>
      <c r="B1702" s="2" t="s">
        <v>2073</v>
      </c>
      <c r="C1702" s="2" t="s">
        <v>2074</v>
      </c>
      <c r="D1702" s="3" t="str">
        <f t="shared" ref="D1702:D1704" si="99">HYPERLINK("https://12go.asia/en/travel/Batumi-Airport/Bakuriani-Hotel-Transfer", "12Go Link")</f>
        <v>12Go Link</v>
      </c>
      <c r="E1702" s="2" t="s">
        <v>12</v>
      </c>
    </row>
    <row r="1703">
      <c r="A1703" s="2" t="s">
        <v>10</v>
      </c>
      <c r="B1703" s="2" t="s">
        <v>2073</v>
      </c>
      <c r="C1703" s="2" t="s">
        <v>2074</v>
      </c>
      <c r="D1703" s="3" t="str">
        <f t="shared" si="99"/>
        <v>12Go Link</v>
      </c>
      <c r="E1703" s="2" t="s">
        <v>13</v>
      </c>
    </row>
    <row r="1704">
      <c r="A1704" s="2" t="s">
        <v>10</v>
      </c>
      <c r="B1704" s="2" t="s">
        <v>2073</v>
      </c>
      <c r="C1704" s="2" t="s">
        <v>2074</v>
      </c>
      <c r="D1704" s="3" t="str">
        <f t="shared" si="99"/>
        <v>12Go Link</v>
      </c>
      <c r="E1704" s="2" t="s">
        <v>14</v>
      </c>
    </row>
    <row r="1705">
      <c r="A1705" s="2" t="s">
        <v>10</v>
      </c>
      <c r="B1705" s="2" t="s">
        <v>2073</v>
      </c>
      <c r="C1705" s="2" t="s">
        <v>2075</v>
      </c>
      <c r="D1705" s="3" t="str">
        <f t="shared" ref="D1705:D1707" si="100">HYPERLINK("https://12go.asia/en/travel/Batumi-Airport/Borjomi-Hotel-Transfer", "12Go Link")</f>
        <v>12Go Link</v>
      </c>
      <c r="E1705" s="2" t="s">
        <v>12</v>
      </c>
    </row>
    <row r="1706">
      <c r="A1706" s="2" t="s">
        <v>10</v>
      </c>
      <c r="B1706" s="2" t="s">
        <v>2073</v>
      </c>
      <c r="C1706" s="2" t="s">
        <v>2075</v>
      </c>
      <c r="D1706" s="3" t="str">
        <f t="shared" si="100"/>
        <v>12Go Link</v>
      </c>
      <c r="E1706" s="2" t="s">
        <v>13</v>
      </c>
    </row>
    <row r="1707">
      <c r="A1707" s="2" t="s">
        <v>10</v>
      </c>
      <c r="B1707" s="2" t="s">
        <v>2073</v>
      </c>
      <c r="C1707" s="2" t="s">
        <v>2075</v>
      </c>
      <c r="D1707" s="3" t="str">
        <f t="shared" si="100"/>
        <v>12Go Link</v>
      </c>
      <c r="E1707" s="2" t="s">
        <v>14</v>
      </c>
    </row>
    <row r="1708">
      <c r="A1708" s="2" t="s">
        <v>10</v>
      </c>
      <c r="B1708" s="2" t="s">
        <v>2073</v>
      </c>
      <c r="C1708" s="2" t="s">
        <v>2076</v>
      </c>
      <c r="D1708" s="3" t="str">
        <f t="shared" ref="D1708:D1710" si="101">HYPERLINK("https://12go.asia/en/travel/Batumi-Hotel-Transfer/Bakuriani-Hotel-Transfer", "12Go Link")</f>
        <v>12Go Link</v>
      </c>
      <c r="E1708" s="2" t="s">
        <v>12</v>
      </c>
    </row>
    <row r="1709">
      <c r="A1709" s="2" t="s">
        <v>10</v>
      </c>
      <c r="B1709" s="2" t="s">
        <v>2073</v>
      </c>
      <c r="C1709" s="2" t="s">
        <v>2076</v>
      </c>
      <c r="D1709" s="3" t="str">
        <f t="shared" si="101"/>
        <v>12Go Link</v>
      </c>
      <c r="E1709" s="2" t="s">
        <v>13</v>
      </c>
    </row>
    <row r="1710">
      <c r="A1710" s="2" t="s">
        <v>10</v>
      </c>
      <c r="B1710" s="2" t="s">
        <v>2073</v>
      </c>
      <c r="C1710" s="2" t="s">
        <v>2076</v>
      </c>
      <c r="D1710" s="3" t="str">
        <f t="shared" si="101"/>
        <v>12Go Link</v>
      </c>
      <c r="E1710" s="2" t="s">
        <v>14</v>
      </c>
    </row>
    <row r="1711">
      <c r="A1711" s="2" t="s">
        <v>10</v>
      </c>
      <c r="B1711" s="2" t="s">
        <v>2073</v>
      </c>
      <c r="C1711" s="2" t="s">
        <v>2077</v>
      </c>
      <c r="D1711" s="3" t="str">
        <f t="shared" ref="D1711:D1713" si="102">HYPERLINK("https://12go.asia/en/travel/Batumi-Hotel-Transfer/Borjomi-Hotel-Transfer", "12Go Link")</f>
        <v>12Go Link</v>
      </c>
      <c r="E1711" s="2" t="s">
        <v>12</v>
      </c>
    </row>
    <row r="1712">
      <c r="A1712" s="2" t="s">
        <v>10</v>
      </c>
      <c r="B1712" s="2" t="s">
        <v>2073</v>
      </c>
      <c r="C1712" s="2" t="s">
        <v>2077</v>
      </c>
      <c r="D1712" s="3" t="str">
        <f t="shared" si="102"/>
        <v>12Go Link</v>
      </c>
      <c r="E1712" s="2" t="s">
        <v>13</v>
      </c>
    </row>
    <row r="1713">
      <c r="A1713" s="2" t="s">
        <v>10</v>
      </c>
      <c r="B1713" s="2" t="s">
        <v>2073</v>
      </c>
      <c r="C1713" s="2" t="s">
        <v>2077</v>
      </c>
      <c r="D1713" s="3" t="str">
        <f t="shared" si="102"/>
        <v>12Go Link</v>
      </c>
      <c r="E1713" s="2" t="s">
        <v>14</v>
      </c>
    </row>
    <row r="1714">
      <c r="A1714" s="2" t="s">
        <v>10</v>
      </c>
      <c r="B1714" s="2" t="s">
        <v>2078</v>
      </c>
      <c r="C1714" s="2" t="s">
        <v>2079</v>
      </c>
      <c r="D1714" s="3" t="str">
        <f t="shared" ref="D1714:D1716" si="103">HYPERLINK("https://12go.asia/en/travel/Batumi-Airport/Gori-Hotel-Transfer", "12Go Link")</f>
        <v>12Go Link</v>
      </c>
      <c r="E1714" s="2" t="s">
        <v>12</v>
      </c>
    </row>
    <row r="1715">
      <c r="A1715" s="2" t="s">
        <v>10</v>
      </c>
      <c r="B1715" s="2" t="s">
        <v>2078</v>
      </c>
      <c r="C1715" s="2" t="s">
        <v>2079</v>
      </c>
      <c r="D1715" s="3" t="str">
        <f t="shared" si="103"/>
        <v>12Go Link</v>
      </c>
      <c r="E1715" s="2" t="s">
        <v>13</v>
      </c>
    </row>
    <row r="1716">
      <c r="A1716" s="2" t="s">
        <v>10</v>
      </c>
      <c r="B1716" s="2" t="s">
        <v>2078</v>
      </c>
      <c r="C1716" s="2" t="s">
        <v>2079</v>
      </c>
      <c r="D1716" s="3" t="str">
        <f t="shared" si="103"/>
        <v>12Go Link</v>
      </c>
      <c r="E1716" s="2" t="s">
        <v>14</v>
      </c>
    </row>
    <row r="1717">
      <c r="A1717" s="2" t="s">
        <v>10</v>
      </c>
      <c r="B1717" s="2" t="s">
        <v>2078</v>
      </c>
      <c r="C1717" s="2" t="s">
        <v>2080</v>
      </c>
      <c r="D1717" s="3" t="str">
        <f t="shared" ref="D1717:D1719" si="104">HYPERLINK("https://12go.asia/en/travel/Batumi-Hotel-Transfer/Gori-Hotel-Transfer", "12Go Link")</f>
        <v>12Go Link</v>
      </c>
      <c r="E1717" s="2" t="s">
        <v>12</v>
      </c>
    </row>
    <row r="1718">
      <c r="A1718" s="2" t="s">
        <v>10</v>
      </c>
      <c r="B1718" s="2" t="s">
        <v>2078</v>
      </c>
      <c r="C1718" s="2" t="s">
        <v>2080</v>
      </c>
      <c r="D1718" s="3" t="str">
        <f t="shared" si="104"/>
        <v>12Go Link</v>
      </c>
      <c r="E1718" s="2" t="s">
        <v>13</v>
      </c>
    </row>
    <row r="1719">
      <c r="A1719" s="2" t="s">
        <v>10</v>
      </c>
      <c r="B1719" s="2" t="s">
        <v>2078</v>
      </c>
      <c r="C1719" s="2" t="s">
        <v>2080</v>
      </c>
      <c r="D1719" s="3" t="str">
        <f t="shared" si="104"/>
        <v>12Go Link</v>
      </c>
      <c r="E1719" s="2" t="s">
        <v>14</v>
      </c>
    </row>
    <row r="1720">
      <c r="A1720" s="2" t="s">
        <v>10</v>
      </c>
      <c r="B1720" s="2" t="s">
        <v>2081</v>
      </c>
      <c r="C1720" s="2" t="s">
        <v>2082</v>
      </c>
      <c r="D1720" s="3" t="str">
        <f t="shared" ref="D1720:D1722" si="105">HYPERLINK("https://12go.asia/en/travel/Batumi-Airport/Gudauri-Hotel-Transfer", "12Go Link")</f>
        <v>12Go Link</v>
      </c>
      <c r="E1720" s="2" t="s">
        <v>12</v>
      </c>
    </row>
    <row r="1721">
      <c r="A1721" s="2" t="s">
        <v>10</v>
      </c>
      <c r="B1721" s="2" t="s">
        <v>2081</v>
      </c>
      <c r="C1721" s="2" t="s">
        <v>2082</v>
      </c>
      <c r="D1721" s="3" t="str">
        <f t="shared" si="105"/>
        <v>12Go Link</v>
      </c>
      <c r="E1721" s="2" t="s">
        <v>13</v>
      </c>
    </row>
    <row r="1722">
      <c r="A1722" s="2" t="s">
        <v>10</v>
      </c>
      <c r="B1722" s="2" t="s">
        <v>2081</v>
      </c>
      <c r="C1722" s="2" t="s">
        <v>2082</v>
      </c>
      <c r="D1722" s="3" t="str">
        <f t="shared" si="105"/>
        <v>12Go Link</v>
      </c>
      <c r="E1722" s="2" t="s">
        <v>14</v>
      </c>
    </row>
    <row r="1723">
      <c r="A1723" s="2" t="s">
        <v>10</v>
      </c>
      <c r="B1723" s="2" t="s">
        <v>2081</v>
      </c>
      <c r="C1723" s="2" t="s">
        <v>2083</v>
      </c>
      <c r="D1723" s="3" t="str">
        <f t="shared" ref="D1723:D1725" si="106">HYPERLINK("https://12go.asia/en/travel/Batumi-Hotel-Transfer/Gudauri-Hotel-Transfer", "12Go Link")</f>
        <v>12Go Link</v>
      </c>
      <c r="E1723" s="2" t="s">
        <v>12</v>
      </c>
    </row>
    <row r="1724">
      <c r="A1724" s="2" t="s">
        <v>10</v>
      </c>
      <c r="B1724" s="2" t="s">
        <v>2081</v>
      </c>
      <c r="C1724" s="2" t="s">
        <v>2083</v>
      </c>
      <c r="D1724" s="3" t="str">
        <f t="shared" si="106"/>
        <v>12Go Link</v>
      </c>
      <c r="E1724" s="2" t="s">
        <v>13</v>
      </c>
    </row>
    <row r="1725">
      <c r="A1725" s="2" t="s">
        <v>10</v>
      </c>
      <c r="B1725" s="2" t="s">
        <v>2081</v>
      </c>
      <c r="C1725" s="2" t="s">
        <v>2083</v>
      </c>
      <c r="D1725" s="3" t="str">
        <f t="shared" si="106"/>
        <v>12Go Link</v>
      </c>
      <c r="E1725" s="2" t="s">
        <v>14</v>
      </c>
    </row>
    <row r="1726">
      <c r="A1726" s="2" t="s">
        <v>10</v>
      </c>
      <c r="B1726" s="2" t="s">
        <v>2084</v>
      </c>
      <c r="C1726" s="2" t="s">
        <v>2085</v>
      </c>
      <c r="D1726" s="3" t="str">
        <f t="shared" ref="D1726:D1728" si="107">HYPERLINK("https://12go.asia/en/travel/Batumi-Airport/Kvareli-Hotel-Transfer", "12Go Link")</f>
        <v>12Go Link</v>
      </c>
      <c r="E1726" s="2" t="s">
        <v>12</v>
      </c>
    </row>
    <row r="1727">
      <c r="A1727" s="2" t="s">
        <v>10</v>
      </c>
      <c r="B1727" s="2" t="s">
        <v>2084</v>
      </c>
      <c r="C1727" s="2" t="s">
        <v>2085</v>
      </c>
      <c r="D1727" s="3" t="str">
        <f t="shared" si="107"/>
        <v>12Go Link</v>
      </c>
      <c r="E1727" s="2" t="s">
        <v>13</v>
      </c>
    </row>
    <row r="1728">
      <c r="A1728" s="2" t="s">
        <v>10</v>
      </c>
      <c r="B1728" s="2" t="s">
        <v>2084</v>
      </c>
      <c r="C1728" s="2" t="s">
        <v>2085</v>
      </c>
      <c r="D1728" s="3" t="str">
        <f t="shared" si="107"/>
        <v>12Go Link</v>
      </c>
      <c r="E1728" s="2" t="s">
        <v>14</v>
      </c>
    </row>
    <row r="1729">
      <c r="A1729" s="2" t="s">
        <v>10</v>
      </c>
      <c r="B1729" s="2" t="s">
        <v>2084</v>
      </c>
      <c r="C1729" s="2" t="s">
        <v>2086</v>
      </c>
      <c r="D1729" s="3" t="str">
        <f t="shared" ref="D1729:D1731" si="108">HYPERLINK("https://12go.asia/en/travel/Batumi-Airport/Lopota-Lake-Hotel-Transfer", "12Go Link")</f>
        <v>12Go Link</v>
      </c>
      <c r="E1729" s="2" t="s">
        <v>12</v>
      </c>
    </row>
    <row r="1730">
      <c r="A1730" s="2" t="s">
        <v>10</v>
      </c>
      <c r="B1730" s="2" t="s">
        <v>2084</v>
      </c>
      <c r="C1730" s="2" t="s">
        <v>2086</v>
      </c>
      <c r="D1730" s="3" t="str">
        <f t="shared" si="108"/>
        <v>12Go Link</v>
      </c>
      <c r="E1730" s="2" t="s">
        <v>13</v>
      </c>
    </row>
    <row r="1731">
      <c r="A1731" s="2" t="s">
        <v>10</v>
      </c>
      <c r="B1731" s="2" t="s">
        <v>2084</v>
      </c>
      <c r="C1731" s="2" t="s">
        <v>2086</v>
      </c>
      <c r="D1731" s="3" t="str">
        <f t="shared" si="108"/>
        <v>12Go Link</v>
      </c>
      <c r="E1731" s="2" t="s">
        <v>14</v>
      </c>
    </row>
    <row r="1732">
      <c r="A1732" s="2" t="s">
        <v>10</v>
      </c>
      <c r="B1732" s="2" t="s">
        <v>2084</v>
      </c>
      <c r="C1732" s="2" t="s">
        <v>2087</v>
      </c>
      <c r="D1732" s="3" t="str">
        <f t="shared" ref="D1732:D1734" si="109">HYPERLINK("https://12go.asia/en/travel/Batumi-Hotel-Transfer/Kvareli-Hotel-Transfer", "12Go Link")</f>
        <v>12Go Link</v>
      </c>
      <c r="E1732" s="2" t="s">
        <v>12</v>
      </c>
    </row>
    <row r="1733">
      <c r="A1733" s="2" t="s">
        <v>10</v>
      </c>
      <c r="B1733" s="2" t="s">
        <v>2084</v>
      </c>
      <c r="C1733" s="2" t="s">
        <v>2087</v>
      </c>
      <c r="D1733" s="3" t="str">
        <f t="shared" si="109"/>
        <v>12Go Link</v>
      </c>
      <c r="E1733" s="2" t="s">
        <v>13</v>
      </c>
    </row>
    <row r="1734">
      <c r="A1734" s="2" t="s">
        <v>10</v>
      </c>
      <c r="B1734" s="2" t="s">
        <v>2084</v>
      </c>
      <c r="C1734" s="2" t="s">
        <v>2087</v>
      </c>
      <c r="D1734" s="3" t="str">
        <f t="shared" si="109"/>
        <v>12Go Link</v>
      </c>
      <c r="E1734" s="2" t="s">
        <v>14</v>
      </c>
    </row>
    <row r="1735">
      <c r="A1735" s="2" t="s">
        <v>10</v>
      </c>
      <c r="B1735" s="2" t="s">
        <v>2084</v>
      </c>
      <c r="C1735" s="2" t="s">
        <v>2088</v>
      </c>
      <c r="D1735" s="3" t="str">
        <f t="shared" ref="D1735:D1737" si="110">HYPERLINK("https://12go.asia/en/travel/Batumi-Hotel-Transfer/Lopota-Lake-Hotel-Transfer", "12Go Link")</f>
        <v>12Go Link</v>
      </c>
      <c r="E1735" s="2" t="s">
        <v>12</v>
      </c>
    </row>
    <row r="1736">
      <c r="A1736" s="2" t="s">
        <v>10</v>
      </c>
      <c r="B1736" s="2" t="s">
        <v>2084</v>
      </c>
      <c r="C1736" s="2" t="s">
        <v>2088</v>
      </c>
      <c r="D1736" s="3" t="str">
        <f t="shared" si="110"/>
        <v>12Go Link</v>
      </c>
      <c r="E1736" s="2" t="s">
        <v>13</v>
      </c>
    </row>
    <row r="1737">
      <c r="A1737" s="2" t="s">
        <v>10</v>
      </c>
      <c r="B1737" s="2" t="s">
        <v>2084</v>
      </c>
      <c r="C1737" s="2" t="s">
        <v>2088</v>
      </c>
      <c r="D1737" s="3" t="str">
        <f t="shared" si="110"/>
        <v>12Go Link</v>
      </c>
      <c r="E1737" s="2" t="s">
        <v>14</v>
      </c>
    </row>
    <row r="1738">
      <c r="A1738" s="2" t="s">
        <v>10</v>
      </c>
      <c r="B1738" s="2" t="s">
        <v>2089</v>
      </c>
      <c r="C1738" s="2" t="s">
        <v>2090</v>
      </c>
      <c r="D1738" s="3" t="str">
        <f t="shared" ref="D1738:D1740" si="111">HYPERLINK("https://12go.asia/en/travel/Batumi-Airport/Kobuleti-Hotel-Transfer", "12Go Link")</f>
        <v>12Go Link</v>
      </c>
      <c r="E1738" s="2" t="s">
        <v>12</v>
      </c>
    </row>
    <row r="1739">
      <c r="A1739" s="2" t="s">
        <v>10</v>
      </c>
      <c r="B1739" s="2" t="s">
        <v>2089</v>
      </c>
      <c r="C1739" s="2" t="s">
        <v>2090</v>
      </c>
      <c r="D1739" s="3" t="str">
        <f t="shared" si="111"/>
        <v>12Go Link</v>
      </c>
      <c r="E1739" s="2" t="s">
        <v>13</v>
      </c>
    </row>
    <row r="1740">
      <c r="A1740" s="2" t="s">
        <v>10</v>
      </c>
      <c r="B1740" s="2" t="s">
        <v>2089</v>
      </c>
      <c r="C1740" s="2" t="s">
        <v>2090</v>
      </c>
      <c r="D1740" s="3" t="str">
        <f t="shared" si="111"/>
        <v>12Go Link</v>
      </c>
      <c r="E1740" s="2" t="s">
        <v>14</v>
      </c>
    </row>
    <row r="1741">
      <c r="A1741" s="2" t="s">
        <v>10</v>
      </c>
      <c r="B1741" s="2" t="s">
        <v>2089</v>
      </c>
      <c r="C1741" s="2" t="s">
        <v>2091</v>
      </c>
      <c r="D1741" s="3" t="str">
        <f t="shared" ref="D1741:D1743" si="112">HYPERLINK("https://12go.asia/en/travel/Batumi-Hotel-Transfer/Kobuleti-Hotel-Transfer", "12Go Link")</f>
        <v>12Go Link</v>
      </c>
      <c r="E1741" s="2" t="s">
        <v>12</v>
      </c>
    </row>
    <row r="1742">
      <c r="A1742" s="2" t="s">
        <v>10</v>
      </c>
      <c r="B1742" s="2" t="s">
        <v>2089</v>
      </c>
      <c r="C1742" s="2" t="s">
        <v>2091</v>
      </c>
      <c r="D1742" s="3" t="str">
        <f t="shared" si="112"/>
        <v>12Go Link</v>
      </c>
      <c r="E1742" s="2" t="s">
        <v>13</v>
      </c>
    </row>
    <row r="1743">
      <c r="A1743" s="2" t="s">
        <v>10</v>
      </c>
      <c r="B1743" s="2" t="s">
        <v>2089</v>
      </c>
      <c r="C1743" s="2" t="s">
        <v>2091</v>
      </c>
      <c r="D1743" s="3" t="str">
        <f t="shared" si="112"/>
        <v>12Go Link</v>
      </c>
      <c r="E1743" s="2" t="s">
        <v>14</v>
      </c>
    </row>
    <row r="1744">
      <c r="A1744" s="2" t="s">
        <v>10</v>
      </c>
      <c r="B1744" s="2" t="s">
        <v>16</v>
      </c>
      <c r="C1744" s="2" t="s">
        <v>2092</v>
      </c>
      <c r="D1744" s="3" t="str">
        <f t="shared" ref="D1744:D1746" si="113">HYPERLINK("https://12go.asia/en/travel/Batumi-Airport/Kutaisi-Hotel-Transfer", "12Go Link")</f>
        <v>12Go Link</v>
      </c>
      <c r="E1744" s="2" t="s">
        <v>12</v>
      </c>
    </row>
    <row r="1745">
      <c r="A1745" s="2" t="s">
        <v>10</v>
      </c>
      <c r="B1745" s="2" t="s">
        <v>16</v>
      </c>
      <c r="C1745" s="2" t="s">
        <v>2092</v>
      </c>
      <c r="D1745" s="3" t="str">
        <f t="shared" si="113"/>
        <v>12Go Link</v>
      </c>
      <c r="E1745" s="2" t="s">
        <v>13</v>
      </c>
    </row>
    <row r="1746">
      <c r="A1746" s="2" t="s">
        <v>10</v>
      </c>
      <c r="B1746" s="2" t="s">
        <v>16</v>
      </c>
      <c r="C1746" s="2" t="s">
        <v>2092</v>
      </c>
      <c r="D1746" s="3" t="str">
        <f t="shared" si="113"/>
        <v>12Go Link</v>
      </c>
      <c r="E1746" s="2" t="s">
        <v>14</v>
      </c>
    </row>
    <row r="1747">
      <c r="A1747" s="2" t="s">
        <v>10</v>
      </c>
      <c r="B1747" s="2" t="s">
        <v>16</v>
      </c>
      <c r="C1747" s="2" t="s">
        <v>2093</v>
      </c>
      <c r="D1747" s="3" t="str">
        <f t="shared" ref="D1747:D1749" si="114">HYPERLINK("https://12go.asia/en/travel/Batumi-Hotel-Transfer/Kutaisi-Airport", "12Go Link")</f>
        <v>12Go Link</v>
      </c>
      <c r="E1747" s="2" t="s">
        <v>12</v>
      </c>
    </row>
    <row r="1748">
      <c r="A1748" s="2" t="s">
        <v>10</v>
      </c>
      <c r="B1748" s="2" t="s">
        <v>16</v>
      </c>
      <c r="C1748" s="2" t="s">
        <v>2093</v>
      </c>
      <c r="D1748" s="3" t="str">
        <f t="shared" si="114"/>
        <v>12Go Link</v>
      </c>
      <c r="E1748" s="2" t="s">
        <v>13</v>
      </c>
    </row>
    <row r="1749">
      <c r="A1749" s="2" t="s">
        <v>10</v>
      </c>
      <c r="B1749" s="2" t="s">
        <v>16</v>
      </c>
      <c r="C1749" s="2" t="s">
        <v>2093</v>
      </c>
      <c r="D1749" s="3" t="str">
        <f t="shared" si="114"/>
        <v>12Go Link</v>
      </c>
      <c r="E1749" s="2" t="s">
        <v>14</v>
      </c>
    </row>
    <row r="1750">
      <c r="A1750" s="2" t="s">
        <v>10</v>
      </c>
      <c r="B1750" s="2" t="s">
        <v>16</v>
      </c>
      <c r="C1750" s="2" t="s">
        <v>2094</v>
      </c>
      <c r="D1750" s="3" t="str">
        <f t="shared" ref="D1750:D1752" si="115">HYPERLINK("https://12go.asia/en/travel/Batumi-Hotel-Transfer/Kutaisi-Hotel-Transfer", "12Go Link")</f>
        <v>12Go Link</v>
      </c>
      <c r="E1750" s="2" t="s">
        <v>12</v>
      </c>
    </row>
    <row r="1751">
      <c r="A1751" s="2" t="s">
        <v>10</v>
      </c>
      <c r="B1751" s="2" t="s">
        <v>16</v>
      </c>
      <c r="C1751" s="2" t="s">
        <v>2094</v>
      </c>
      <c r="D1751" s="3" t="str">
        <f t="shared" si="115"/>
        <v>12Go Link</v>
      </c>
      <c r="E1751" s="2" t="s">
        <v>13</v>
      </c>
    </row>
    <row r="1752">
      <c r="A1752" s="2" t="s">
        <v>10</v>
      </c>
      <c r="B1752" s="2" t="s">
        <v>16</v>
      </c>
      <c r="C1752" s="2" t="s">
        <v>2094</v>
      </c>
      <c r="D1752" s="3" t="str">
        <f t="shared" si="115"/>
        <v>12Go Link</v>
      </c>
      <c r="E1752" s="2" t="s">
        <v>14</v>
      </c>
    </row>
    <row r="1753">
      <c r="A1753" s="2" t="s">
        <v>10</v>
      </c>
      <c r="B1753" s="2" t="s">
        <v>2095</v>
      </c>
      <c r="C1753" s="2" t="s">
        <v>2096</v>
      </c>
      <c r="D1753" s="3" t="str">
        <f t="shared" ref="D1753:D1755" si="116">HYPERLINK("https://12go.asia/en/travel/Batumi-Airport/Mestia-Hotel-Transfer", "12Go Link")</f>
        <v>12Go Link</v>
      </c>
      <c r="E1753" s="2" t="s">
        <v>12</v>
      </c>
    </row>
    <row r="1754">
      <c r="A1754" s="2" t="s">
        <v>10</v>
      </c>
      <c r="B1754" s="2" t="s">
        <v>2095</v>
      </c>
      <c r="C1754" s="2" t="s">
        <v>2096</v>
      </c>
      <c r="D1754" s="3" t="str">
        <f t="shared" si="116"/>
        <v>12Go Link</v>
      </c>
      <c r="E1754" s="2" t="s">
        <v>13</v>
      </c>
    </row>
    <row r="1755">
      <c r="A1755" s="2" t="s">
        <v>10</v>
      </c>
      <c r="B1755" s="2" t="s">
        <v>2095</v>
      </c>
      <c r="C1755" s="2" t="s">
        <v>2096</v>
      </c>
      <c r="D1755" s="3" t="str">
        <f t="shared" si="116"/>
        <v>12Go Link</v>
      </c>
      <c r="E1755" s="2" t="s">
        <v>14</v>
      </c>
    </row>
    <row r="1756">
      <c r="A1756" s="2" t="s">
        <v>10</v>
      </c>
      <c r="B1756" s="2" t="s">
        <v>2095</v>
      </c>
      <c r="C1756" s="2" t="s">
        <v>2097</v>
      </c>
      <c r="D1756" s="3" t="str">
        <f t="shared" ref="D1756:D1758" si="117">HYPERLINK("https://12go.asia/en/travel/Batumi-Hotel-Transfer/Mestia-Hotel-Transfer", "12Go Link")</f>
        <v>12Go Link</v>
      </c>
      <c r="E1756" s="2" t="s">
        <v>12</v>
      </c>
    </row>
    <row r="1757">
      <c r="A1757" s="2" t="s">
        <v>10</v>
      </c>
      <c r="B1757" s="2" t="s">
        <v>2095</v>
      </c>
      <c r="C1757" s="2" t="s">
        <v>2097</v>
      </c>
      <c r="D1757" s="3" t="str">
        <f t="shared" si="117"/>
        <v>12Go Link</v>
      </c>
      <c r="E1757" s="2" t="s">
        <v>13</v>
      </c>
    </row>
    <row r="1758">
      <c r="A1758" s="2" t="s">
        <v>10</v>
      </c>
      <c r="B1758" s="2" t="s">
        <v>2095</v>
      </c>
      <c r="C1758" s="2" t="s">
        <v>2097</v>
      </c>
      <c r="D1758" s="3" t="str">
        <f t="shared" si="117"/>
        <v>12Go Link</v>
      </c>
      <c r="E1758" s="2" t="s">
        <v>14</v>
      </c>
    </row>
    <row r="1759">
      <c r="A1759" s="2" t="s">
        <v>10</v>
      </c>
      <c r="B1759" s="2" t="s">
        <v>2098</v>
      </c>
      <c r="C1759" s="2" t="s">
        <v>2099</v>
      </c>
      <c r="D1759" s="3" t="str">
        <f t="shared" ref="D1759:D1761" si="118">HYPERLINK("https://12go.asia/en/travel/Batumi-Airport/Stepantsminda-Hotel-Transfer", "12Go Link")</f>
        <v>12Go Link</v>
      </c>
      <c r="E1759" s="2" t="s">
        <v>12</v>
      </c>
    </row>
    <row r="1760">
      <c r="A1760" s="2" t="s">
        <v>10</v>
      </c>
      <c r="B1760" s="2" t="s">
        <v>2098</v>
      </c>
      <c r="C1760" s="2" t="s">
        <v>2099</v>
      </c>
      <c r="D1760" s="3" t="str">
        <f t="shared" si="118"/>
        <v>12Go Link</v>
      </c>
      <c r="E1760" s="2" t="s">
        <v>13</v>
      </c>
    </row>
    <row r="1761">
      <c r="A1761" s="2" t="s">
        <v>10</v>
      </c>
      <c r="B1761" s="2" t="s">
        <v>2098</v>
      </c>
      <c r="C1761" s="2" t="s">
        <v>2099</v>
      </c>
      <c r="D1761" s="3" t="str">
        <f t="shared" si="118"/>
        <v>12Go Link</v>
      </c>
      <c r="E1761" s="2" t="s">
        <v>14</v>
      </c>
    </row>
    <row r="1762">
      <c r="A1762" s="2" t="s">
        <v>10</v>
      </c>
      <c r="B1762" s="2" t="s">
        <v>2098</v>
      </c>
      <c r="C1762" s="2" t="s">
        <v>2100</v>
      </c>
      <c r="D1762" s="3" t="str">
        <f t="shared" ref="D1762:D1764" si="119">HYPERLINK("https://12go.asia/en/travel/Batumi-Hotel-Transfer/Stepantsminda-Hotel-Transfer", "12Go Link")</f>
        <v>12Go Link</v>
      </c>
      <c r="E1762" s="2" t="s">
        <v>12</v>
      </c>
    </row>
    <row r="1763">
      <c r="A1763" s="2" t="s">
        <v>10</v>
      </c>
      <c r="B1763" s="2" t="s">
        <v>2098</v>
      </c>
      <c r="C1763" s="2" t="s">
        <v>2100</v>
      </c>
      <c r="D1763" s="3" t="str">
        <f t="shared" si="119"/>
        <v>12Go Link</v>
      </c>
      <c r="E1763" s="2" t="s">
        <v>13</v>
      </c>
    </row>
    <row r="1764">
      <c r="A1764" s="2" t="s">
        <v>10</v>
      </c>
      <c r="B1764" s="2" t="s">
        <v>2098</v>
      </c>
      <c r="C1764" s="2" t="s">
        <v>2100</v>
      </c>
      <c r="D1764" s="3" t="str">
        <f t="shared" si="119"/>
        <v>12Go Link</v>
      </c>
      <c r="E1764" s="2" t="s">
        <v>14</v>
      </c>
    </row>
    <row r="1765">
      <c r="A1765" s="2" t="s">
        <v>10</v>
      </c>
      <c r="B1765" s="2" t="s">
        <v>2101</v>
      </c>
      <c r="C1765" s="2" t="s">
        <v>2102</v>
      </c>
      <c r="D1765" s="3" t="str">
        <f t="shared" ref="D1765:D1767" si="120">HYPERLINK("https://12go.asia/en/travel/Batumi-Airport/Shekvetili-Hotel-Transfer", "12Go Link")</f>
        <v>12Go Link</v>
      </c>
      <c r="E1765" s="2" t="s">
        <v>12</v>
      </c>
    </row>
    <row r="1766">
      <c r="A1766" s="2" t="s">
        <v>10</v>
      </c>
      <c r="B1766" s="2" t="s">
        <v>2101</v>
      </c>
      <c r="C1766" s="2" t="s">
        <v>2102</v>
      </c>
      <c r="D1766" s="3" t="str">
        <f t="shared" si="120"/>
        <v>12Go Link</v>
      </c>
      <c r="E1766" s="2" t="s">
        <v>13</v>
      </c>
    </row>
    <row r="1767">
      <c r="A1767" s="2" t="s">
        <v>10</v>
      </c>
      <c r="B1767" s="2" t="s">
        <v>2101</v>
      </c>
      <c r="C1767" s="2" t="s">
        <v>2102</v>
      </c>
      <c r="D1767" s="3" t="str">
        <f t="shared" si="120"/>
        <v>12Go Link</v>
      </c>
      <c r="E1767" s="2" t="s">
        <v>14</v>
      </c>
    </row>
    <row r="1768">
      <c r="A1768" s="2" t="s">
        <v>10</v>
      </c>
      <c r="B1768" s="2" t="s">
        <v>2101</v>
      </c>
      <c r="C1768" s="2" t="s">
        <v>2103</v>
      </c>
      <c r="D1768" s="3" t="str">
        <f t="shared" ref="D1768:D1770" si="121">HYPERLINK("https://12go.asia/en/travel/Batumi-Hotel-Transfer/Shekvetili-Hotel-Transfer", "12Go Link")</f>
        <v>12Go Link</v>
      </c>
      <c r="E1768" s="2" t="s">
        <v>12</v>
      </c>
    </row>
    <row r="1769">
      <c r="A1769" s="2" t="s">
        <v>10</v>
      </c>
      <c r="B1769" s="2" t="s">
        <v>2101</v>
      </c>
      <c r="C1769" s="2" t="s">
        <v>2103</v>
      </c>
      <c r="D1769" s="3" t="str">
        <f t="shared" si="121"/>
        <v>12Go Link</v>
      </c>
      <c r="E1769" s="2" t="s">
        <v>13</v>
      </c>
    </row>
    <row r="1770">
      <c r="A1770" s="2" t="s">
        <v>10</v>
      </c>
      <c r="B1770" s="2" t="s">
        <v>2101</v>
      </c>
      <c r="C1770" s="2" t="s">
        <v>2103</v>
      </c>
      <c r="D1770" s="3" t="str">
        <f t="shared" si="121"/>
        <v>12Go Link</v>
      </c>
      <c r="E1770" s="2" t="s">
        <v>14</v>
      </c>
    </row>
    <row r="1771">
      <c r="A1771" s="2" t="s">
        <v>10</v>
      </c>
      <c r="B1771" s="2" t="s">
        <v>2104</v>
      </c>
      <c r="C1771" s="2" t="s">
        <v>2105</v>
      </c>
      <c r="D1771" s="3" t="str">
        <f t="shared" ref="D1771:D1773" si="122">HYPERLINK("https://12go.asia/en/travel/Batumi-Airport/Sighnaghi-Hotel-Transfer", "12Go Link")</f>
        <v>12Go Link</v>
      </c>
      <c r="E1771" s="2" t="s">
        <v>12</v>
      </c>
    </row>
    <row r="1772">
      <c r="A1772" s="2" t="s">
        <v>10</v>
      </c>
      <c r="B1772" s="2" t="s">
        <v>2104</v>
      </c>
      <c r="C1772" s="2" t="s">
        <v>2105</v>
      </c>
      <c r="D1772" s="3" t="str">
        <f t="shared" si="122"/>
        <v>12Go Link</v>
      </c>
      <c r="E1772" s="2" t="s">
        <v>13</v>
      </c>
    </row>
    <row r="1773">
      <c r="A1773" s="2" t="s">
        <v>10</v>
      </c>
      <c r="B1773" s="2" t="s">
        <v>2104</v>
      </c>
      <c r="C1773" s="2" t="s">
        <v>2105</v>
      </c>
      <c r="D1773" s="3" t="str">
        <f t="shared" si="122"/>
        <v>12Go Link</v>
      </c>
      <c r="E1773" s="2" t="s">
        <v>14</v>
      </c>
    </row>
    <row r="1774">
      <c r="A1774" s="2" t="s">
        <v>10</v>
      </c>
      <c r="B1774" s="2" t="s">
        <v>2104</v>
      </c>
      <c r="C1774" s="2" t="s">
        <v>2106</v>
      </c>
      <c r="D1774" s="3" t="str">
        <f t="shared" ref="D1774:D1776" si="123">HYPERLINK("https://12go.asia/en/travel/Batumi-Hotel-Transfer/Sighnaghi-Hotel-Transfer", "12Go Link")</f>
        <v>12Go Link</v>
      </c>
      <c r="E1774" s="2" t="s">
        <v>12</v>
      </c>
    </row>
    <row r="1775">
      <c r="A1775" s="2" t="s">
        <v>10</v>
      </c>
      <c r="B1775" s="2" t="s">
        <v>2104</v>
      </c>
      <c r="C1775" s="2" t="s">
        <v>2106</v>
      </c>
      <c r="D1775" s="3" t="str">
        <f t="shared" si="123"/>
        <v>12Go Link</v>
      </c>
      <c r="E1775" s="2" t="s">
        <v>13</v>
      </c>
    </row>
    <row r="1776">
      <c r="A1776" s="2" t="s">
        <v>10</v>
      </c>
      <c r="B1776" s="2" t="s">
        <v>2104</v>
      </c>
      <c r="C1776" s="2" t="s">
        <v>2106</v>
      </c>
      <c r="D1776" s="3" t="str">
        <f t="shared" si="123"/>
        <v>12Go Link</v>
      </c>
      <c r="E1776" s="2" t="s">
        <v>14</v>
      </c>
    </row>
    <row r="1777">
      <c r="A1777" s="2" t="s">
        <v>10</v>
      </c>
      <c r="B1777" s="2" t="s">
        <v>6</v>
      </c>
      <c r="C1777" s="2" t="s">
        <v>2107</v>
      </c>
      <c r="D1777" s="3" t="str">
        <f t="shared" ref="D1777:D1779" si="124">HYPERLINK("https://12go.asia/en/travel/Batumi-Airport/Tbilisi-Hotel-Transfer", "12Go Link")</f>
        <v>12Go Link</v>
      </c>
      <c r="E1777" s="2" t="s">
        <v>12</v>
      </c>
    </row>
    <row r="1778">
      <c r="A1778" s="2" t="s">
        <v>10</v>
      </c>
      <c r="B1778" s="2" t="s">
        <v>6</v>
      </c>
      <c r="C1778" s="2" t="s">
        <v>2107</v>
      </c>
      <c r="D1778" s="3" t="str">
        <f t="shared" si="124"/>
        <v>12Go Link</v>
      </c>
      <c r="E1778" s="2" t="s">
        <v>13</v>
      </c>
    </row>
    <row r="1779">
      <c r="A1779" s="2" t="s">
        <v>10</v>
      </c>
      <c r="B1779" s="2" t="s">
        <v>6</v>
      </c>
      <c r="C1779" s="2" t="s">
        <v>2107</v>
      </c>
      <c r="D1779" s="3" t="str">
        <f t="shared" si="124"/>
        <v>12Go Link</v>
      </c>
      <c r="E1779" s="2" t="s">
        <v>14</v>
      </c>
    </row>
    <row r="1780">
      <c r="A1780" s="2" t="s">
        <v>10</v>
      </c>
      <c r="B1780" s="2" t="s">
        <v>6</v>
      </c>
      <c r="C1780" s="2" t="s">
        <v>2108</v>
      </c>
      <c r="D1780" s="3" t="str">
        <f t="shared" ref="D1780:D1782" si="125">HYPERLINK("https://12go.asia/en/travel/Batumi-Hotel-Transfer/Tbilisi-Airport", "12Go Link")</f>
        <v>12Go Link</v>
      </c>
      <c r="E1780" s="2" t="s">
        <v>12</v>
      </c>
    </row>
    <row r="1781">
      <c r="A1781" s="2" t="s">
        <v>10</v>
      </c>
      <c r="B1781" s="2" t="s">
        <v>6</v>
      </c>
      <c r="C1781" s="2" t="s">
        <v>2108</v>
      </c>
      <c r="D1781" s="3" t="str">
        <f t="shared" si="125"/>
        <v>12Go Link</v>
      </c>
      <c r="E1781" s="2" t="s">
        <v>13</v>
      </c>
    </row>
    <row r="1782">
      <c r="A1782" s="2" t="s">
        <v>10</v>
      </c>
      <c r="B1782" s="2" t="s">
        <v>6</v>
      </c>
      <c r="C1782" s="2" t="s">
        <v>2108</v>
      </c>
      <c r="D1782" s="3" t="str">
        <f t="shared" si="125"/>
        <v>12Go Link</v>
      </c>
      <c r="E1782" s="2" t="s">
        <v>14</v>
      </c>
    </row>
    <row r="1783">
      <c r="A1783" s="2" t="s">
        <v>10</v>
      </c>
      <c r="B1783" s="2" t="s">
        <v>6</v>
      </c>
      <c r="C1783" s="2" t="s">
        <v>2109</v>
      </c>
      <c r="D1783" s="3" t="str">
        <f t="shared" ref="D1783:D1785" si="126">HYPERLINK("https://12go.asia/en/travel/Batumi-Hotel-Transfer/Tbilisi-Hotel-Transfer", "12Go Link")</f>
        <v>12Go Link</v>
      </c>
      <c r="E1783" s="2" t="s">
        <v>12</v>
      </c>
    </row>
    <row r="1784">
      <c r="A1784" s="2" t="s">
        <v>10</v>
      </c>
      <c r="B1784" s="2" t="s">
        <v>6</v>
      </c>
      <c r="C1784" s="2" t="s">
        <v>2109</v>
      </c>
      <c r="D1784" s="3" t="str">
        <f t="shared" si="126"/>
        <v>12Go Link</v>
      </c>
      <c r="E1784" s="2" t="s">
        <v>13</v>
      </c>
    </row>
    <row r="1785">
      <c r="A1785" s="2" t="s">
        <v>10</v>
      </c>
      <c r="B1785" s="2" t="s">
        <v>6</v>
      </c>
      <c r="C1785" s="2" t="s">
        <v>2109</v>
      </c>
      <c r="D1785" s="3" t="str">
        <f t="shared" si="126"/>
        <v>12Go Link</v>
      </c>
      <c r="E1785" s="2" t="s">
        <v>14</v>
      </c>
    </row>
    <row r="1786">
      <c r="A1786" s="2" t="s">
        <v>10</v>
      </c>
      <c r="B1786" s="2" t="s">
        <v>2110</v>
      </c>
      <c r="C1786" s="2" t="s">
        <v>2111</v>
      </c>
      <c r="D1786" s="3" t="str">
        <f t="shared" ref="D1786:D1788" si="127">HYPERLINK("https://12go.asia/en/travel/Batumi-Airport/Telavi-Hotel-Transfer", "12Go Link")</f>
        <v>12Go Link</v>
      </c>
      <c r="E1786" s="2" t="s">
        <v>12</v>
      </c>
    </row>
    <row r="1787">
      <c r="A1787" s="2" t="s">
        <v>10</v>
      </c>
      <c r="B1787" s="2" t="s">
        <v>2110</v>
      </c>
      <c r="C1787" s="2" t="s">
        <v>2111</v>
      </c>
      <c r="D1787" s="3" t="str">
        <f t="shared" si="127"/>
        <v>12Go Link</v>
      </c>
      <c r="E1787" s="2" t="s">
        <v>13</v>
      </c>
    </row>
    <row r="1788">
      <c r="A1788" s="2" t="s">
        <v>10</v>
      </c>
      <c r="B1788" s="2" t="s">
        <v>2110</v>
      </c>
      <c r="C1788" s="2" t="s">
        <v>2111</v>
      </c>
      <c r="D1788" s="3" t="str">
        <f t="shared" si="127"/>
        <v>12Go Link</v>
      </c>
      <c r="E1788" s="2" t="s">
        <v>14</v>
      </c>
    </row>
    <row r="1789">
      <c r="A1789" s="2" t="s">
        <v>10</v>
      </c>
      <c r="B1789" s="2" t="s">
        <v>2110</v>
      </c>
      <c r="C1789" s="2" t="s">
        <v>2112</v>
      </c>
      <c r="D1789" s="3" t="str">
        <f t="shared" ref="D1789:D1791" si="128">HYPERLINK("https://12go.asia/en/travel/Batumi-Hotel-Transfer/Telavi-Hotel-Transfer", "12Go Link")</f>
        <v>12Go Link</v>
      </c>
      <c r="E1789" s="2" t="s">
        <v>12</v>
      </c>
    </row>
    <row r="1790">
      <c r="A1790" s="2" t="s">
        <v>10</v>
      </c>
      <c r="B1790" s="2" t="s">
        <v>2110</v>
      </c>
      <c r="C1790" s="2" t="s">
        <v>2112</v>
      </c>
      <c r="D1790" s="3" t="str">
        <f t="shared" si="128"/>
        <v>12Go Link</v>
      </c>
      <c r="E1790" s="2" t="s">
        <v>13</v>
      </c>
    </row>
    <row r="1791">
      <c r="A1791" s="2" t="s">
        <v>10</v>
      </c>
      <c r="B1791" s="2" t="s">
        <v>2110</v>
      </c>
      <c r="C1791" s="2" t="s">
        <v>2112</v>
      </c>
      <c r="D1791" s="3" t="str">
        <f t="shared" si="128"/>
        <v>12Go Link</v>
      </c>
      <c r="E1791" s="2" t="s">
        <v>14</v>
      </c>
    </row>
    <row r="1792">
      <c r="A1792" s="2" t="s">
        <v>10</v>
      </c>
      <c r="B1792" s="2" t="s">
        <v>2113</v>
      </c>
      <c r="C1792" s="2" t="s">
        <v>2114</v>
      </c>
      <c r="D1792" s="3" t="str">
        <f t="shared" ref="D1792:D1794" si="129">HYPERLINK("https://12go.asia/en/travel/Batumi-Airport/Zugdidi-Hotel-Transfer", "12Go Link")</f>
        <v>12Go Link</v>
      </c>
      <c r="E1792" s="2" t="s">
        <v>12</v>
      </c>
    </row>
    <row r="1793">
      <c r="A1793" s="2" t="s">
        <v>10</v>
      </c>
      <c r="B1793" s="2" t="s">
        <v>2113</v>
      </c>
      <c r="C1793" s="2" t="s">
        <v>2114</v>
      </c>
      <c r="D1793" s="3" t="str">
        <f t="shared" si="129"/>
        <v>12Go Link</v>
      </c>
      <c r="E1793" s="2" t="s">
        <v>13</v>
      </c>
    </row>
    <row r="1794">
      <c r="A1794" s="2" t="s">
        <v>10</v>
      </c>
      <c r="B1794" s="2" t="s">
        <v>2113</v>
      </c>
      <c r="C1794" s="2" t="s">
        <v>2114</v>
      </c>
      <c r="D1794" s="3" t="str">
        <f t="shared" si="129"/>
        <v>12Go Link</v>
      </c>
      <c r="E1794" s="2" t="s">
        <v>14</v>
      </c>
    </row>
    <row r="1795">
      <c r="A1795" s="2" t="s">
        <v>10</v>
      </c>
      <c r="B1795" s="2" t="s">
        <v>2113</v>
      </c>
      <c r="C1795" s="2" t="s">
        <v>2115</v>
      </c>
      <c r="D1795" s="3" t="str">
        <f t="shared" ref="D1795:D1797" si="130">HYPERLINK("https://12go.asia/en/travel/Batumi-Hotel-Transfer/Zugdidi-Hotel-Transfer", "12Go Link")</f>
        <v>12Go Link</v>
      </c>
      <c r="E1795" s="2" t="s">
        <v>12</v>
      </c>
    </row>
    <row r="1796">
      <c r="A1796" s="2" t="s">
        <v>10</v>
      </c>
      <c r="B1796" s="2" t="s">
        <v>2113</v>
      </c>
      <c r="C1796" s="2" t="s">
        <v>2115</v>
      </c>
      <c r="D1796" s="3" t="str">
        <f t="shared" si="130"/>
        <v>12Go Link</v>
      </c>
      <c r="E1796" s="2" t="s">
        <v>13</v>
      </c>
    </row>
    <row r="1797">
      <c r="A1797" s="2" t="s">
        <v>10</v>
      </c>
      <c r="B1797" s="2" t="s">
        <v>2113</v>
      </c>
      <c r="C1797" s="2" t="s">
        <v>2115</v>
      </c>
      <c r="D1797" s="3" t="str">
        <f t="shared" si="130"/>
        <v>12Go Link</v>
      </c>
      <c r="E1797" s="2" t="s">
        <v>14</v>
      </c>
    </row>
    <row r="1798">
      <c r="A1798" s="2" t="s">
        <v>2073</v>
      </c>
      <c r="B1798" s="2" t="s">
        <v>10</v>
      </c>
      <c r="C1798" s="2" t="s">
        <v>2116</v>
      </c>
      <c r="D1798" s="3" t="str">
        <f t="shared" ref="D1798:D1800" si="131">HYPERLINK("https://12go.asia/en/travel/Bakuriani-Hotel-Transfer/Batumi-Airport", "12Go Link")</f>
        <v>12Go Link</v>
      </c>
      <c r="E1798" s="2" t="s">
        <v>12</v>
      </c>
    </row>
    <row r="1799">
      <c r="A1799" s="2" t="s">
        <v>2073</v>
      </c>
      <c r="B1799" s="2" t="s">
        <v>10</v>
      </c>
      <c r="C1799" s="2" t="s">
        <v>2116</v>
      </c>
      <c r="D1799" s="3" t="str">
        <f t="shared" si="131"/>
        <v>12Go Link</v>
      </c>
      <c r="E1799" s="2" t="s">
        <v>13</v>
      </c>
    </row>
    <row r="1800">
      <c r="A1800" s="2" t="s">
        <v>2073</v>
      </c>
      <c r="B1800" s="2" t="s">
        <v>10</v>
      </c>
      <c r="C1800" s="2" t="s">
        <v>2116</v>
      </c>
      <c r="D1800" s="3" t="str">
        <f t="shared" si="131"/>
        <v>12Go Link</v>
      </c>
      <c r="E1800" s="2" t="s">
        <v>14</v>
      </c>
    </row>
    <row r="1801">
      <c r="A1801" s="2" t="s">
        <v>2073</v>
      </c>
      <c r="B1801" s="2" t="s">
        <v>10</v>
      </c>
      <c r="C1801" s="2" t="s">
        <v>2117</v>
      </c>
      <c r="D1801" s="3" t="str">
        <f t="shared" ref="D1801:D1803" si="132">HYPERLINK("https://12go.asia/en/travel/Bakuriani-Hotel-Transfer/Batumi-Hotel-Transfer", "12Go Link")</f>
        <v>12Go Link</v>
      </c>
      <c r="E1801" s="2" t="s">
        <v>12</v>
      </c>
    </row>
    <row r="1802">
      <c r="A1802" s="2" t="s">
        <v>2073</v>
      </c>
      <c r="B1802" s="2" t="s">
        <v>10</v>
      </c>
      <c r="C1802" s="2" t="s">
        <v>2117</v>
      </c>
      <c r="D1802" s="3" t="str">
        <f t="shared" si="132"/>
        <v>12Go Link</v>
      </c>
      <c r="E1802" s="2" t="s">
        <v>13</v>
      </c>
    </row>
    <row r="1803">
      <c r="A1803" s="2" t="s">
        <v>2073</v>
      </c>
      <c r="B1803" s="2" t="s">
        <v>10</v>
      </c>
      <c r="C1803" s="2" t="s">
        <v>2117</v>
      </c>
      <c r="D1803" s="3" t="str">
        <f t="shared" si="132"/>
        <v>12Go Link</v>
      </c>
      <c r="E1803" s="2" t="s">
        <v>14</v>
      </c>
    </row>
    <row r="1804">
      <c r="A1804" s="2" t="s">
        <v>2073</v>
      </c>
      <c r="B1804" s="2" t="s">
        <v>10</v>
      </c>
      <c r="C1804" s="2" t="s">
        <v>2118</v>
      </c>
      <c r="D1804" s="3" t="str">
        <f t="shared" ref="D1804:D1806" si="133">HYPERLINK("https://12go.asia/en/travel/Borjomi-Hotel-Transfer/Batumi-Airport", "12Go Link")</f>
        <v>12Go Link</v>
      </c>
      <c r="E1804" s="2" t="s">
        <v>12</v>
      </c>
    </row>
    <row r="1805">
      <c r="A1805" s="2" t="s">
        <v>2073</v>
      </c>
      <c r="B1805" s="2" t="s">
        <v>10</v>
      </c>
      <c r="C1805" s="2" t="s">
        <v>2118</v>
      </c>
      <c r="D1805" s="3" t="str">
        <f t="shared" si="133"/>
        <v>12Go Link</v>
      </c>
      <c r="E1805" s="2" t="s">
        <v>13</v>
      </c>
    </row>
    <row r="1806">
      <c r="A1806" s="2" t="s">
        <v>2073</v>
      </c>
      <c r="B1806" s="2" t="s">
        <v>10</v>
      </c>
      <c r="C1806" s="2" t="s">
        <v>2118</v>
      </c>
      <c r="D1806" s="3" t="str">
        <f t="shared" si="133"/>
        <v>12Go Link</v>
      </c>
      <c r="E1806" s="2" t="s">
        <v>14</v>
      </c>
    </row>
    <row r="1807">
      <c r="A1807" s="2" t="s">
        <v>2073</v>
      </c>
      <c r="B1807" s="2" t="s">
        <v>10</v>
      </c>
      <c r="C1807" s="2" t="s">
        <v>2119</v>
      </c>
      <c r="D1807" s="3" t="str">
        <f t="shared" ref="D1807:D1809" si="134">HYPERLINK("https://12go.asia/en/travel/Borjomi-Hotel-Transfer/Batumi-Hotel-Transfer", "12Go Link")</f>
        <v>12Go Link</v>
      </c>
      <c r="E1807" s="2" t="s">
        <v>12</v>
      </c>
    </row>
    <row r="1808">
      <c r="A1808" s="2" t="s">
        <v>2073</v>
      </c>
      <c r="B1808" s="2" t="s">
        <v>10</v>
      </c>
      <c r="C1808" s="2" t="s">
        <v>2119</v>
      </c>
      <c r="D1808" s="3" t="str">
        <f t="shared" si="134"/>
        <v>12Go Link</v>
      </c>
      <c r="E1808" s="2" t="s">
        <v>13</v>
      </c>
    </row>
    <row r="1809">
      <c r="A1809" s="2" t="s">
        <v>2073</v>
      </c>
      <c r="B1809" s="2" t="s">
        <v>10</v>
      </c>
      <c r="C1809" s="2" t="s">
        <v>2119</v>
      </c>
      <c r="D1809" s="3" t="str">
        <f t="shared" si="134"/>
        <v>12Go Link</v>
      </c>
      <c r="E1809" s="2" t="s">
        <v>14</v>
      </c>
    </row>
    <row r="1810">
      <c r="A1810" s="2" t="s">
        <v>2073</v>
      </c>
      <c r="B1810" s="2" t="s">
        <v>16</v>
      </c>
      <c r="C1810" s="2" t="s">
        <v>2120</v>
      </c>
      <c r="D1810" s="3" t="str">
        <f t="shared" ref="D1810:D1812" si="135">HYPERLINK("https://12go.asia/en/travel/Bakuriani-Hotel-Transfer/Kutaisi-Airport", "12Go Link")</f>
        <v>12Go Link</v>
      </c>
      <c r="E1810" s="2" t="s">
        <v>12</v>
      </c>
    </row>
    <row r="1811">
      <c r="A1811" s="2" t="s">
        <v>2073</v>
      </c>
      <c r="B1811" s="2" t="s">
        <v>16</v>
      </c>
      <c r="C1811" s="2" t="s">
        <v>2120</v>
      </c>
      <c r="D1811" s="3" t="str">
        <f t="shared" si="135"/>
        <v>12Go Link</v>
      </c>
      <c r="E1811" s="2" t="s">
        <v>13</v>
      </c>
    </row>
    <row r="1812">
      <c r="A1812" s="2" t="s">
        <v>2073</v>
      </c>
      <c r="B1812" s="2" t="s">
        <v>16</v>
      </c>
      <c r="C1812" s="2" t="s">
        <v>2120</v>
      </c>
      <c r="D1812" s="3" t="str">
        <f t="shared" si="135"/>
        <v>12Go Link</v>
      </c>
      <c r="E1812" s="2" t="s">
        <v>14</v>
      </c>
    </row>
    <row r="1813">
      <c r="A1813" s="2" t="s">
        <v>2073</v>
      </c>
      <c r="B1813" s="2" t="s">
        <v>16</v>
      </c>
      <c r="C1813" s="2" t="s">
        <v>2121</v>
      </c>
      <c r="D1813" s="3" t="str">
        <f t="shared" ref="D1813:D1815" si="136">HYPERLINK("https://12go.asia/en/travel/Bakuriani-Hotel-Transfer/Kutaisi-Hotel-Transfer", "12Go Link")</f>
        <v>12Go Link</v>
      </c>
      <c r="E1813" s="2" t="s">
        <v>12</v>
      </c>
    </row>
    <row r="1814">
      <c r="A1814" s="2" t="s">
        <v>2073</v>
      </c>
      <c r="B1814" s="2" t="s">
        <v>16</v>
      </c>
      <c r="C1814" s="2" t="s">
        <v>2121</v>
      </c>
      <c r="D1814" s="3" t="str">
        <f t="shared" si="136"/>
        <v>12Go Link</v>
      </c>
      <c r="E1814" s="2" t="s">
        <v>13</v>
      </c>
    </row>
    <row r="1815">
      <c r="A1815" s="2" t="s">
        <v>2073</v>
      </c>
      <c r="B1815" s="2" t="s">
        <v>16</v>
      </c>
      <c r="C1815" s="2" t="s">
        <v>2121</v>
      </c>
      <c r="D1815" s="3" t="str">
        <f t="shared" si="136"/>
        <v>12Go Link</v>
      </c>
      <c r="E1815" s="2" t="s">
        <v>14</v>
      </c>
    </row>
    <row r="1816">
      <c r="A1816" s="2" t="s">
        <v>2073</v>
      </c>
      <c r="B1816" s="2" t="s">
        <v>16</v>
      </c>
      <c r="C1816" s="2" t="s">
        <v>2122</v>
      </c>
      <c r="D1816" s="3" t="str">
        <f t="shared" ref="D1816:D1818" si="137">HYPERLINK("https://12go.asia/en/travel/Borjomi-Hotel-Transfer/Kutaisi-Airport", "12Go Link")</f>
        <v>12Go Link</v>
      </c>
      <c r="E1816" s="2" t="s">
        <v>12</v>
      </c>
    </row>
    <row r="1817">
      <c r="A1817" s="2" t="s">
        <v>2073</v>
      </c>
      <c r="B1817" s="2" t="s">
        <v>16</v>
      </c>
      <c r="C1817" s="2" t="s">
        <v>2122</v>
      </c>
      <c r="D1817" s="3" t="str">
        <f t="shared" si="137"/>
        <v>12Go Link</v>
      </c>
      <c r="E1817" s="2" t="s">
        <v>13</v>
      </c>
    </row>
    <row r="1818">
      <c r="A1818" s="2" t="s">
        <v>2073</v>
      </c>
      <c r="B1818" s="2" t="s">
        <v>16</v>
      </c>
      <c r="C1818" s="2" t="s">
        <v>2122</v>
      </c>
      <c r="D1818" s="3" t="str">
        <f t="shared" si="137"/>
        <v>12Go Link</v>
      </c>
      <c r="E1818" s="2" t="s">
        <v>14</v>
      </c>
    </row>
    <row r="1819">
      <c r="A1819" s="2" t="s">
        <v>2073</v>
      </c>
      <c r="B1819" s="2" t="s">
        <v>16</v>
      </c>
      <c r="C1819" s="2" t="s">
        <v>2123</v>
      </c>
      <c r="D1819" s="3" t="str">
        <f t="shared" ref="D1819:D1821" si="138">HYPERLINK("https://12go.asia/en/travel/Borjomi-Hotel-Transfer/Kutaisi-Hotel-Transfer", "12Go Link")</f>
        <v>12Go Link</v>
      </c>
      <c r="E1819" s="2" t="s">
        <v>12</v>
      </c>
    </row>
    <row r="1820">
      <c r="A1820" s="2" t="s">
        <v>2073</v>
      </c>
      <c r="B1820" s="2" t="s">
        <v>16</v>
      </c>
      <c r="C1820" s="2" t="s">
        <v>2123</v>
      </c>
      <c r="D1820" s="3" t="str">
        <f t="shared" si="138"/>
        <v>12Go Link</v>
      </c>
      <c r="E1820" s="2" t="s">
        <v>13</v>
      </c>
    </row>
    <row r="1821">
      <c r="A1821" s="2" t="s">
        <v>2073</v>
      </c>
      <c r="B1821" s="2" t="s">
        <v>16</v>
      </c>
      <c r="C1821" s="2" t="s">
        <v>2123</v>
      </c>
      <c r="D1821" s="3" t="str">
        <f t="shared" si="138"/>
        <v>12Go Link</v>
      </c>
      <c r="E1821" s="2" t="s">
        <v>14</v>
      </c>
    </row>
    <row r="1822">
      <c r="A1822" s="2" t="s">
        <v>2073</v>
      </c>
      <c r="B1822" s="2" t="s">
        <v>6</v>
      </c>
      <c r="C1822" s="2" t="s">
        <v>2124</v>
      </c>
      <c r="D1822" s="3" t="str">
        <f t="shared" ref="D1822:D1824" si="139">HYPERLINK("https://12go.asia/en/travel/Bakuriani-Hotel-Transfer/Tbilisi-Airport", "12Go Link")</f>
        <v>12Go Link</v>
      </c>
      <c r="E1822" s="2" t="s">
        <v>12</v>
      </c>
    </row>
    <row r="1823">
      <c r="A1823" s="2" t="s">
        <v>2073</v>
      </c>
      <c r="B1823" s="2" t="s">
        <v>6</v>
      </c>
      <c r="C1823" s="2" t="s">
        <v>2124</v>
      </c>
      <c r="D1823" s="3" t="str">
        <f t="shared" si="139"/>
        <v>12Go Link</v>
      </c>
      <c r="E1823" s="2" t="s">
        <v>13</v>
      </c>
    </row>
    <row r="1824">
      <c r="A1824" s="2" t="s">
        <v>2073</v>
      </c>
      <c r="B1824" s="2" t="s">
        <v>6</v>
      </c>
      <c r="C1824" s="2" t="s">
        <v>2124</v>
      </c>
      <c r="D1824" s="3" t="str">
        <f t="shared" si="139"/>
        <v>12Go Link</v>
      </c>
      <c r="E1824" s="2" t="s">
        <v>14</v>
      </c>
    </row>
    <row r="1825">
      <c r="A1825" s="2" t="s">
        <v>2073</v>
      </c>
      <c r="B1825" s="2" t="s">
        <v>6</v>
      </c>
      <c r="C1825" s="2" t="s">
        <v>2125</v>
      </c>
      <c r="D1825" s="3" t="str">
        <f t="shared" ref="D1825:D1827" si="140">HYPERLINK("https://12go.asia/en/travel/Bakuriani-Hotel-Transfer/Tbilisi-Hotel-Transfer", "12Go Link")</f>
        <v>12Go Link</v>
      </c>
      <c r="E1825" s="2" t="s">
        <v>12</v>
      </c>
    </row>
    <row r="1826">
      <c r="A1826" s="2" t="s">
        <v>2073</v>
      </c>
      <c r="B1826" s="2" t="s">
        <v>6</v>
      </c>
      <c r="C1826" s="2" t="s">
        <v>2125</v>
      </c>
      <c r="D1826" s="3" t="str">
        <f t="shared" si="140"/>
        <v>12Go Link</v>
      </c>
      <c r="E1826" s="2" t="s">
        <v>13</v>
      </c>
    </row>
    <row r="1827">
      <c r="A1827" s="2" t="s">
        <v>2073</v>
      </c>
      <c r="B1827" s="2" t="s">
        <v>6</v>
      </c>
      <c r="C1827" s="2" t="s">
        <v>2125</v>
      </c>
      <c r="D1827" s="3" t="str">
        <f t="shared" si="140"/>
        <v>12Go Link</v>
      </c>
      <c r="E1827" s="2" t="s">
        <v>14</v>
      </c>
    </row>
    <row r="1828">
      <c r="A1828" s="2" t="s">
        <v>2073</v>
      </c>
      <c r="B1828" s="2" t="s">
        <v>6</v>
      </c>
      <c r="C1828" s="2" t="s">
        <v>2126</v>
      </c>
      <c r="D1828" s="3" t="str">
        <f t="shared" ref="D1828:D1830" si="141">HYPERLINK("https://12go.asia/en/travel/Borjomi-Hotel-Transfer/Tbilisi-Airport", "12Go Link")</f>
        <v>12Go Link</v>
      </c>
      <c r="E1828" s="2" t="s">
        <v>12</v>
      </c>
    </row>
    <row r="1829">
      <c r="A1829" s="2" t="s">
        <v>2073</v>
      </c>
      <c r="B1829" s="2" t="s">
        <v>6</v>
      </c>
      <c r="C1829" s="2" t="s">
        <v>2126</v>
      </c>
      <c r="D1829" s="3" t="str">
        <f t="shared" si="141"/>
        <v>12Go Link</v>
      </c>
      <c r="E1829" s="2" t="s">
        <v>13</v>
      </c>
    </row>
    <row r="1830">
      <c r="A1830" s="2" t="s">
        <v>2073</v>
      </c>
      <c r="B1830" s="2" t="s">
        <v>6</v>
      </c>
      <c r="C1830" s="2" t="s">
        <v>2126</v>
      </c>
      <c r="D1830" s="3" t="str">
        <f t="shared" si="141"/>
        <v>12Go Link</v>
      </c>
      <c r="E1830" s="2" t="s">
        <v>14</v>
      </c>
    </row>
    <row r="1831">
      <c r="A1831" s="2" t="s">
        <v>2073</v>
      </c>
      <c r="B1831" s="2" t="s">
        <v>6</v>
      </c>
      <c r="C1831" s="2" t="s">
        <v>2127</v>
      </c>
      <c r="D1831" s="3" t="str">
        <f t="shared" ref="D1831:D1833" si="142">HYPERLINK("https://12go.asia/en/travel/Borjomi-Hotel-Transfer/Tbilisi-Hotel-Transfer", "12Go Link")</f>
        <v>12Go Link</v>
      </c>
      <c r="E1831" s="2" t="s">
        <v>12</v>
      </c>
    </row>
    <row r="1832">
      <c r="A1832" s="2" t="s">
        <v>2073</v>
      </c>
      <c r="B1832" s="2" t="s">
        <v>6</v>
      </c>
      <c r="C1832" s="2" t="s">
        <v>2127</v>
      </c>
      <c r="D1832" s="3" t="str">
        <f t="shared" si="142"/>
        <v>12Go Link</v>
      </c>
      <c r="E1832" s="2" t="s">
        <v>13</v>
      </c>
    </row>
    <row r="1833">
      <c r="A1833" s="2" t="s">
        <v>2073</v>
      </c>
      <c r="B1833" s="2" t="s">
        <v>6</v>
      </c>
      <c r="C1833" s="2" t="s">
        <v>2127</v>
      </c>
      <c r="D1833" s="3" t="str">
        <f t="shared" si="142"/>
        <v>12Go Link</v>
      </c>
      <c r="E1833" s="2" t="s">
        <v>14</v>
      </c>
    </row>
    <row r="1834">
      <c r="A1834" s="2" t="s">
        <v>2078</v>
      </c>
      <c r="B1834" s="2" t="s">
        <v>10</v>
      </c>
      <c r="C1834" s="2" t="s">
        <v>2128</v>
      </c>
      <c r="D1834" s="3" t="str">
        <f t="shared" ref="D1834:D1836" si="143">HYPERLINK("https://12go.asia/en/travel/Gori-Hotel-Transfer/Batumi-Airport", "12Go Link")</f>
        <v>12Go Link</v>
      </c>
      <c r="E1834" s="2" t="s">
        <v>12</v>
      </c>
    </row>
    <row r="1835">
      <c r="A1835" s="2" t="s">
        <v>2078</v>
      </c>
      <c r="B1835" s="2" t="s">
        <v>10</v>
      </c>
      <c r="C1835" s="2" t="s">
        <v>2128</v>
      </c>
      <c r="D1835" s="3" t="str">
        <f t="shared" si="143"/>
        <v>12Go Link</v>
      </c>
      <c r="E1835" s="2" t="s">
        <v>13</v>
      </c>
    </row>
    <row r="1836">
      <c r="A1836" s="2" t="s">
        <v>2078</v>
      </c>
      <c r="B1836" s="2" t="s">
        <v>10</v>
      </c>
      <c r="C1836" s="2" t="s">
        <v>2128</v>
      </c>
      <c r="D1836" s="3" t="str">
        <f t="shared" si="143"/>
        <v>12Go Link</v>
      </c>
      <c r="E1836" s="2" t="s">
        <v>14</v>
      </c>
    </row>
    <row r="1837">
      <c r="A1837" s="2" t="s">
        <v>2078</v>
      </c>
      <c r="B1837" s="2" t="s">
        <v>10</v>
      </c>
      <c r="C1837" s="2" t="s">
        <v>2129</v>
      </c>
      <c r="D1837" s="3" t="str">
        <f t="shared" ref="D1837:D1839" si="144">HYPERLINK("https://12go.asia/en/travel/Gori-Hotel-Transfer/Batumi-Hotel-Transfer", "12Go Link")</f>
        <v>12Go Link</v>
      </c>
      <c r="E1837" s="2" t="s">
        <v>12</v>
      </c>
    </row>
    <row r="1838">
      <c r="A1838" s="2" t="s">
        <v>2078</v>
      </c>
      <c r="B1838" s="2" t="s">
        <v>10</v>
      </c>
      <c r="C1838" s="2" t="s">
        <v>2129</v>
      </c>
      <c r="D1838" s="3" t="str">
        <f t="shared" si="144"/>
        <v>12Go Link</v>
      </c>
      <c r="E1838" s="2" t="s">
        <v>13</v>
      </c>
    </row>
    <row r="1839">
      <c r="A1839" s="2" t="s">
        <v>2078</v>
      </c>
      <c r="B1839" s="2" t="s">
        <v>10</v>
      </c>
      <c r="C1839" s="2" t="s">
        <v>2129</v>
      </c>
      <c r="D1839" s="3" t="str">
        <f t="shared" si="144"/>
        <v>12Go Link</v>
      </c>
      <c r="E1839" s="2" t="s">
        <v>14</v>
      </c>
    </row>
    <row r="1840">
      <c r="A1840" s="2" t="s">
        <v>2078</v>
      </c>
      <c r="B1840" s="2" t="s">
        <v>16</v>
      </c>
      <c r="C1840" s="2" t="s">
        <v>2130</v>
      </c>
      <c r="D1840" s="3" t="str">
        <f t="shared" ref="D1840:D1842" si="145">HYPERLINK("https://12go.asia/en/travel/Gori-Hotel-Transfer/Kutaisi-Airport", "12Go Link")</f>
        <v>12Go Link</v>
      </c>
      <c r="E1840" s="2" t="s">
        <v>12</v>
      </c>
    </row>
    <row r="1841">
      <c r="A1841" s="2" t="s">
        <v>2078</v>
      </c>
      <c r="B1841" s="2" t="s">
        <v>16</v>
      </c>
      <c r="C1841" s="2" t="s">
        <v>2130</v>
      </c>
      <c r="D1841" s="3" t="str">
        <f t="shared" si="145"/>
        <v>12Go Link</v>
      </c>
      <c r="E1841" s="2" t="s">
        <v>13</v>
      </c>
    </row>
    <row r="1842">
      <c r="A1842" s="2" t="s">
        <v>2078</v>
      </c>
      <c r="B1842" s="2" t="s">
        <v>16</v>
      </c>
      <c r="C1842" s="2" t="s">
        <v>2130</v>
      </c>
      <c r="D1842" s="3" t="str">
        <f t="shared" si="145"/>
        <v>12Go Link</v>
      </c>
      <c r="E1842" s="2" t="s">
        <v>14</v>
      </c>
    </row>
    <row r="1843">
      <c r="A1843" s="2" t="s">
        <v>2078</v>
      </c>
      <c r="B1843" s="2" t="s">
        <v>16</v>
      </c>
      <c r="C1843" s="2" t="s">
        <v>2131</v>
      </c>
      <c r="D1843" s="3" t="str">
        <f t="shared" ref="D1843:D1845" si="146">HYPERLINK("https://12go.asia/en/travel/Gori-Hotel-Transfer/Kutaisi-Hotel-Transfer", "12Go Link")</f>
        <v>12Go Link</v>
      </c>
      <c r="E1843" s="2" t="s">
        <v>12</v>
      </c>
    </row>
    <row r="1844">
      <c r="A1844" s="2" t="s">
        <v>2078</v>
      </c>
      <c r="B1844" s="2" t="s">
        <v>16</v>
      </c>
      <c r="C1844" s="2" t="s">
        <v>2131</v>
      </c>
      <c r="D1844" s="3" t="str">
        <f t="shared" si="146"/>
        <v>12Go Link</v>
      </c>
      <c r="E1844" s="2" t="s">
        <v>13</v>
      </c>
    </row>
    <row r="1845">
      <c r="A1845" s="2" t="s">
        <v>2078</v>
      </c>
      <c r="B1845" s="2" t="s">
        <v>16</v>
      </c>
      <c r="C1845" s="2" t="s">
        <v>2131</v>
      </c>
      <c r="D1845" s="3" t="str">
        <f t="shared" si="146"/>
        <v>12Go Link</v>
      </c>
      <c r="E1845" s="2" t="s">
        <v>14</v>
      </c>
    </row>
    <row r="1846">
      <c r="A1846" s="2" t="s">
        <v>2078</v>
      </c>
      <c r="B1846" s="2" t="s">
        <v>6</v>
      </c>
      <c r="C1846" s="2" t="s">
        <v>2132</v>
      </c>
      <c r="D1846" s="3" t="str">
        <f t="shared" ref="D1846:D1848" si="147">HYPERLINK("https://12go.asia/en/travel/Gori-Hotel-Transfer/Tbilisi-Airport", "12Go Link")</f>
        <v>12Go Link</v>
      </c>
      <c r="E1846" s="2" t="s">
        <v>12</v>
      </c>
    </row>
    <row r="1847">
      <c r="A1847" s="2" t="s">
        <v>2078</v>
      </c>
      <c r="B1847" s="2" t="s">
        <v>6</v>
      </c>
      <c r="C1847" s="2" t="s">
        <v>2132</v>
      </c>
      <c r="D1847" s="3" t="str">
        <f t="shared" si="147"/>
        <v>12Go Link</v>
      </c>
      <c r="E1847" s="2" t="s">
        <v>13</v>
      </c>
    </row>
    <row r="1848">
      <c r="A1848" s="2" t="s">
        <v>2078</v>
      </c>
      <c r="B1848" s="2" t="s">
        <v>6</v>
      </c>
      <c r="C1848" s="2" t="s">
        <v>2132</v>
      </c>
      <c r="D1848" s="3" t="str">
        <f t="shared" si="147"/>
        <v>12Go Link</v>
      </c>
      <c r="E1848" s="2" t="s">
        <v>14</v>
      </c>
    </row>
    <row r="1849">
      <c r="A1849" s="2" t="s">
        <v>2078</v>
      </c>
      <c r="B1849" s="2" t="s">
        <v>6</v>
      </c>
      <c r="C1849" s="2" t="s">
        <v>2133</v>
      </c>
      <c r="D1849" s="3" t="str">
        <f t="shared" ref="D1849:D1851" si="148">HYPERLINK("https://12go.asia/en/travel/Gori-Hotel-Transfer/Tbilisi-Hotel-Transfer", "12Go Link")</f>
        <v>12Go Link</v>
      </c>
      <c r="E1849" s="2" t="s">
        <v>12</v>
      </c>
    </row>
    <row r="1850">
      <c r="A1850" s="2" t="s">
        <v>2078</v>
      </c>
      <c r="B1850" s="2" t="s">
        <v>6</v>
      </c>
      <c r="C1850" s="2" t="s">
        <v>2133</v>
      </c>
      <c r="D1850" s="3" t="str">
        <f t="shared" si="148"/>
        <v>12Go Link</v>
      </c>
      <c r="E1850" s="2" t="s">
        <v>13</v>
      </c>
    </row>
    <row r="1851">
      <c r="A1851" s="2" t="s">
        <v>2078</v>
      </c>
      <c r="B1851" s="2" t="s">
        <v>6</v>
      </c>
      <c r="C1851" s="2" t="s">
        <v>2133</v>
      </c>
      <c r="D1851" s="3" t="str">
        <f t="shared" si="148"/>
        <v>12Go Link</v>
      </c>
      <c r="E1851" s="2" t="s">
        <v>14</v>
      </c>
    </row>
    <row r="1852">
      <c r="A1852" s="2" t="s">
        <v>2081</v>
      </c>
      <c r="B1852" s="2" t="s">
        <v>10</v>
      </c>
      <c r="C1852" s="2" t="s">
        <v>2134</v>
      </c>
      <c r="D1852" s="3" t="str">
        <f t="shared" ref="D1852:D1854" si="149">HYPERLINK("https://12go.asia/en/travel/Gudauri-Hotel-Transfer/Batumi-Airport", "12Go Link")</f>
        <v>12Go Link</v>
      </c>
      <c r="E1852" s="2" t="s">
        <v>12</v>
      </c>
    </row>
    <row r="1853">
      <c r="A1853" s="2" t="s">
        <v>2081</v>
      </c>
      <c r="B1853" s="2" t="s">
        <v>10</v>
      </c>
      <c r="C1853" s="2" t="s">
        <v>2134</v>
      </c>
      <c r="D1853" s="3" t="str">
        <f t="shared" si="149"/>
        <v>12Go Link</v>
      </c>
      <c r="E1853" s="2" t="s">
        <v>13</v>
      </c>
    </row>
    <row r="1854">
      <c r="A1854" s="2" t="s">
        <v>2081</v>
      </c>
      <c r="B1854" s="2" t="s">
        <v>10</v>
      </c>
      <c r="C1854" s="2" t="s">
        <v>2134</v>
      </c>
      <c r="D1854" s="3" t="str">
        <f t="shared" si="149"/>
        <v>12Go Link</v>
      </c>
      <c r="E1854" s="2" t="s">
        <v>14</v>
      </c>
    </row>
    <row r="1855">
      <c r="A1855" s="2" t="s">
        <v>2081</v>
      </c>
      <c r="B1855" s="2" t="s">
        <v>10</v>
      </c>
      <c r="C1855" s="2" t="s">
        <v>2135</v>
      </c>
      <c r="D1855" s="3" t="str">
        <f t="shared" ref="D1855:D1857" si="150">HYPERLINK("https://12go.asia/en/travel/Gudauri-Hotel-Transfer/Batumi-Hotel-Transfer", "12Go Link")</f>
        <v>12Go Link</v>
      </c>
      <c r="E1855" s="2" t="s">
        <v>12</v>
      </c>
    </row>
    <row r="1856">
      <c r="A1856" s="2" t="s">
        <v>2081</v>
      </c>
      <c r="B1856" s="2" t="s">
        <v>10</v>
      </c>
      <c r="C1856" s="2" t="s">
        <v>2135</v>
      </c>
      <c r="D1856" s="3" t="str">
        <f t="shared" si="150"/>
        <v>12Go Link</v>
      </c>
      <c r="E1856" s="2" t="s">
        <v>13</v>
      </c>
    </row>
    <row r="1857">
      <c r="A1857" s="2" t="s">
        <v>2081</v>
      </c>
      <c r="B1857" s="2" t="s">
        <v>10</v>
      </c>
      <c r="C1857" s="2" t="s">
        <v>2135</v>
      </c>
      <c r="D1857" s="3" t="str">
        <f t="shared" si="150"/>
        <v>12Go Link</v>
      </c>
      <c r="E1857" s="2" t="s">
        <v>14</v>
      </c>
    </row>
    <row r="1858">
      <c r="A1858" s="2" t="s">
        <v>2081</v>
      </c>
      <c r="B1858" s="2" t="s">
        <v>16</v>
      </c>
      <c r="C1858" s="2" t="s">
        <v>2136</v>
      </c>
      <c r="D1858" s="3" t="str">
        <f t="shared" ref="D1858:D1860" si="151">HYPERLINK("https://12go.asia/en/travel/Gudauri-Hotel-Transfer/Kutaisi-Airport", "12Go Link")</f>
        <v>12Go Link</v>
      </c>
      <c r="E1858" s="2" t="s">
        <v>12</v>
      </c>
    </row>
    <row r="1859">
      <c r="A1859" s="2" t="s">
        <v>2081</v>
      </c>
      <c r="B1859" s="2" t="s">
        <v>16</v>
      </c>
      <c r="C1859" s="2" t="s">
        <v>2136</v>
      </c>
      <c r="D1859" s="3" t="str">
        <f t="shared" si="151"/>
        <v>12Go Link</v>
      </c>
      <c r="E1859" s="2" t="s">
        <v>13</v>
      </c>
    </row>
    <row r="1860">
      <c r="A1860" s="2" t="s">
        <v>2081</v>
      </c>
      <c r="B1860" s="2" t="s">
        <v>16</v>
      </c>
      <c r="C1860" s="2" t="s">
        <v>2136</v>
      </c>
      <c r="D1860" s="3" t="str">
        <f t="shared" si="151"/>
        <v>12Go Link</v>
      </c>
      <c r="E1860" s="2" t="s">
        <v>14</v>
      </c>
    </row>
    <row r="1861">
      <c r="A1861" s="2" t="s">
        <v>2081</v>
      </c>
      <c r="B1861" s="2" t="s">
        <v>16</v>
      </c>
      <c r="C1861" s="2" t="s">
        <v>2137</v>
      </c>
      <c r="D1861" s="3" t="str">
        <f t="shared" ref="D1861:D1863" si="152">HYPERLINK("https://12go.asia/en/travel/Gudauri-Hotel-Transfer/Kutaisi-Hotel-Transfer", "12Go Link")</f>
        <v>12Go Link</v>
      </c>
      <c r="E1861" s="2" t="s">
        <v>12</v>
      </c>
    </row>
    <row r="1862">
      <c r="A1862" s="2" t="s">
        <v>2081</v>
      </c>
      <c r="B1862" s="2" t="s">
        <v>16</v>
      </c>
      <c r="C1862" s="2" t="s">
        <v>2137</v>
      </c>
      <c r="D1862" s="3" t="str">
        <f t="shared" si="152"/>
        <v>12Go Link</v>
      </c>
      <c r="E1862" s="2" t="s">
        <v>13</v>
      </c>
    </row>
    <row r="1863">
      <c r="A1863" s="2" t="s">
        <v>2081</v>
      </c>
      <c r="B1863" s="2" t="s">
        <v>16</v>
      </c>
      <c r="C1863" s="2" t="s">
        <v>2137</v>
      </c>
      <c r="D1863" s="3" t="str">
        <f t="shared" si="152"/>
        <v>12Go Link</v>
      </c>
      <c r="E1863" s="2" t="s">
        <v>14</v>
      </c>
    </row>
    <row r="1864">
      <c r="A1864" s="2" t="s">
        <v>2081</v>
      </c>
      <c r="B1864" s="2" t="s">
        <v>6</v>
      </c>
      <c r="C1864" s="2" t="s">
        <v>2138</v>
      </c>
      <c r="D1864" s="3" t="str">
        <f t="shared" ref="D1864:D1866" si="153">HYPERLINK("https://12go.asia/en/travel/Gudauri-Hotel-Transfer/Tbilisi-Airport", "12Go Link")</f>
        <v>12Go Link</v>
      </c>
      <c r="E1864" s="2" t="s">
        <v>12</v>
      </c>
    </row>
    <row r="1865">
      <c r="A1865" s="2" t="s">
        <v>2081</v>
      </c>
      <c r="B1865" s="2" t="s">
        <v>6</v>
      </c>
      <c r="C1865" s="2" t="s">
        <v>2138</v>
      </c>
      <c r="D1865" s="3" t="str">
        <f t="shared" si="153"/>
        <v>12Go Link</v>
      </c>
      <c r="E1865" s="2" t="s">
        <v>13</v>
      </c>
    </row>
    <row r="1866">
      <c r="A1866" s="2" t="s">
        <v>2081</v>
      </c>
      <c r="B1866" s="2" t="s">
        <v>6</v>
      </c>
      <c r="C1866" s="2" t="s">
        <v>2138</v>
      </c>
      <c r="D1866" s="3" t="str">
        <f t="shared" si="153"/>
        <v>12Go Link</v>
      </c>
      <c r="E1866" s="2" t="s">
        <v>14</v>
      </c>
    </row>
    <row r="1867">
      <c r="A1867" s="2" t="s">
        <v>2081</v>
      </c>
      <c r="B1867" s="2" t="s">
        <v>6</v>
      </c>
      <c r="C1867" s="2" t="s">
        <v>2139</v>
      </c>
      <c r="D1867" s="3" t="str">
        <f t="shared" ref="D1867:D1869" si="154">HYPERLINK("https://12go.asia/en/travel/Gudauri-Hotel-Transfer/Tbilisi-Hotel-Transfer", "12Go Link")</f>
        <v>12Go Link</v>
      </c>
      <c r="E1867" s="2" t="s">
        <v>12</v>
      </c>
    </row>
    <row r="1868">
      <c r="A1868" s="2" t="s">
        <v>2081</v>
      </c>
      <c r="B1868" s="2" t="s">
        <v>6</v>
      </c>
      <c r="C1868" s="2" t="s">
        <v>2139</v>
      </c>
      <c r="D1868" s="3" t="str">
        <f t="shared" si="154"/>
        <v>12Go Link</v>
      </c>
      <c r="E1868" s="2" t="s">
        <v>13</v>
      </c>
    </row>
    <row r="1869">
      <c r="A1869" s="2" t="s">
        <v>2081</v>
      </c>
      <c r="B1869" s="2" t="s">
        <v>6</v>
      </c>
      <c r="C1869" s="2" t="s">
        <v>2139</v>
      </c>
      <c r="D1869" s="3" t="str">
        <f t="shared" si="154"/>
        <v>12Go Link</v>
      </c>
      <c r="E1869" s="2" t="s">
        <v>14</v>
      </c>
    </row>
    <row r="1870">
      <c r="A1870" s="2" t="s">
        <v>2084</v>
      </c>
      <c r="B1870" s="2" t="s">
        <v>10</v>
      </c>
      <c r="C1870" s="2" t="s">
        <v>2140</v>
      </c>
      <c r="D1870" s="3" t="str">
        <f t="shared" ref="D1870:D1872" si="155">HYPERLINK("https://12go.asia/en/travel/Kvareli-Hotel-Transfer/Batumi-Airport", "12Go Link")</f>
        <v>12Go Link</v>
      </c>
      <c r="E1870" s="2" t="s">
        <v>12</v>
      </c>
    </row>
    <row r="1871">
      <c r="A1871" s="2" t="s">
        <v>2084</v>
      </c>
      <c r="B1871" s="2" t="s">
        <v>10</v>
      </c>
      <c r="C1871" s="2" t="s">
        <v>2140</v>
      </c>
      <c r="D1871" s="3" t="str">
        <f t="shared" si="155"/>
        <v>12Go Link</v>
      </c>
      <c r="E1871" s="2" t="s">
        <v>13</v>
      </c>
    </row>
    <row r="1872">
      <c r="A1872" s="2" t="s">
        <v>2084</v>
      </c>
      <c r="B1872" s="2" t="s">
        <v>10</v>
      </c>
      <c r="C1872" s="2" t="s">
        <v>2140</v>
      </c>
      <c r="D1872" s="3" t="str">
        <f t="shared" si="155"/>
        <v>12Go Link</v>
      </c>
      <c r="E1872" s="2" t="s">
        <v>14</v>
      </c>
    </row>
    <row r="1873">
      <c r="A1873" s="2" t="s">
        <v>2084</v>
      </c>
      <c r="B1873" s="2" t="s">
        <v>10</v>
      </c>
      <c r="C1873" s="2" t="s">
        <v>2141</v>
      </c>
      <c r="D1873" s="3" t="str">
        <f t="shared" ref="D1873:D1875" si="156">HYPERLINK("https://12go.asia/en/travel/Kvareli-Hotel-Transfer/Batumi-Hotel-Transfer", "12Go Link")</f>
        <v>12Go Link</v>
      </c>
      <c r="E1873" s="2" t="s">
        <v>12</v>
      </c>
    </row>
    <row r="1874">
      <c r="A1874" s="2" t="s">
        <v>2084</v>
      </c>
      <c r="B1874" s="2" t="s">
        <v>10</v>
      </c>
      <c r="C1874" s="2" t="s">
        <v>2141</v>
      </c>
      <c r="D1874" s="3" t="str">
        <f t="shared" si="156"/>
        <v>12Go Link</v>
      </c>
      <c r="E1874" s="2" t="s">
        <v>13</v>
      </c>
    </row>
    <row r="1875">
      <c r="A1875" s="2" t="s">
        <v>2084</v>
      </c>
      <c r="B1875" s="2" t="s">
        <v>10</v>
      </c>
      <c r="C1875" s="2" t="s">
        <v>2141</v>
      </c>
      <c r="D1875" s="3" t="str">
        <f t="shared" si="156"/>
        <v>12Go Link</v>
      </c>
      <c r="E1875" s="2" t="s">
        <v>14</v>
      </c>
    </row>
    <row r="1876">
      <c r="A1876" s="2" t="s">
        <v>2084</v>
      </c>
      <c r="B1876" s="2" t="s">
        <v>10</v>
      </c>
      <c r="C1876" s="2" t="s">
        <v>2142</v>
      </c>
      <c r="D1876" s="3" t="str">
        <f t="shared" ref="D1876:D1878" si="157">HYPERLINK("https://12go.asia/en/travel/Lopota-Lake-Hotel-Transfer/Batumi-Airport", "12Go Link")</f>
        <v>12Go Link</v>
      </c>
      <c r="E1876" s="2" t="s">
        <v>12</v>
      </c>
    </row>
    <row r="1877">
      <c r="A1877" s="2" t="s">
        <v>2084</v>
      </c>
      <c r="B1877" s="2" t="s">
        <v>10</v>
      </c>
      <c r="C1877" s="2" t="s">
        <v>2142</v>
      </c>
      <c r="D1877" s="3" t="str">
        <f t="shared" si="157"/>
        <v>12Go Link</v>
      </c>
      <c r="E1877" s="2" t="s">
        <v>13</v>
      </c>
    </row>
    <row r="1878">
      <c r="A1878" s="2" t="s">
        <v>2084</v>
      </c>
      <c r="B1878" s="2" t="s">
        <v>10</v>
      </c>
      <c r="C1878" s="2" t="s">
        <v>2142</v>
      </c>
      <c r="D1878" s="3" t="str">
        <f t="shared" si="157"/>
        <v>12Go Link</v>
      </c>
      <c r="E1878" s="2" t="s">
        <v>14</v>
      </c>
    </row>
    <row r="1879">
      <c r="A1879" s="2" t="s">
        <v>2084</v>
      </c>
      <c r="B1879" s="2" t="s">
        <v>10</v>
      </c>
      <c r="C1879" s="2" t="s">
        <v>2143</v>
      </c>
      <c r="D1879" s="3" t="str">
        <f t="shared" ref="D1879:D1881" si="158">HYPERLINK("https://12go.asia/en/travel/Lopota-Lake-Hotel-Transfer/Batumi-Hotel-Transfer", "12Go Link")</f>
        <v>12Go Link</v>
      </c>
      <c r="E1879" s="2" t="s">
        <v>12</v>
      </c>
    </row>
    <row r="1880">
      <c r="A1880" s="2" t="s">
        <v>2084</v>
      </c>
      <c r="B1880" s="2" t="s">
        <v>10</v>
      </c>
      <c r="C1880" s="2" t="s">
        <v>2143</v>
      </c>
      <c r="D1880" s="3" t="str">
        <f t="shared" si="158"/>
        <v>12Go Link</v>
      </c>
      <c r="E1880" s="2" t="s">
        <v>13</v>
      </c>
    </row>
    <row r="1881">
      <c r="A1881" s="2" t="s">
        <v>2084</v>
      </c>
      <c r="B1881" s="2" t="s">
        <v>10</v>
      </c>
      <c r="C1881" s="2" t="s">
        <v>2143</v>
      </c>
      <c r="D1881" s="3" t="str">
        <f t="shared" si="158"/>
        <v>12Go Link</v>
      </c>
      <c r="E1881" s="2" t="s">
        <v>14</v>
      </c>
    </row>
    <row r="1882">
      <c r="A1882" s="2" t="s">
        <v>2084</v>
      </c>
      <c r="B1882" s="2" t="s">
        <v>16</v>
      </c>
      <c r="C1882" s="2" t="s">
        <v>2144</v>
      </c>
      <c r="D1882" s="3" t="str">
        <f t="shared" ref="D1882:D1884" si="159">HYPERLINK("https://12go.asia/en/travel/Kvareli-Hotel-Transfer/Kutaisi-Airport", "12Go Link")</f>
        <v>12Go Link</v>
      </c>
      <c r="E1882" s="2" t="s">
        <v>12</v>
      </c>
    </row>
    <row r="1883">
      <c r="A1883" s="2" t="s">
        <v>2084</v>
      </c>
      <c r="B1883" s="2" t="s">
        <v>16</v>
      </c>
      <c r="C1883" s="2" t="s">
        <v>2144</v>
      </c>
      <c r="D1883" s="3" t="str">
        <f t="shared" si="159"/>
        <v>12Go Link</v>
      </c>
      <c r="E1883" s="2" t="s">
        <v>13</v>
      </c>
    </row>
    <row r="1884">
      <c r="A1884" s="2" t="s">
        <v>2084</v>
      </c>
      <c r="B1884" s="2" t="s">
        <v>16</v>
      </c>
      <c r="C1884" s="2" t="s">
        <v>2144</v>
      </c>
      <c r="D1884" s="3" t="str">
        <f t="shared" si="159"/>
        <v>12Go Link</v>
      </c>
      <c r="E1884" s="2" t="s">
        <v>14</v>
      </c>
    </row>
    <row r="1885">
      <c r="A1885" s="2" t="s">
        <v>2084</v>
      </c>
      <c r="B1885" s="2" t="s">
        <v>16</v>
      </c>
      <c r="C1885" s="2" t="s">
        <v>2145</v>
      </c>
      <c r="D1885" s="3" t="str">
        <f t="shared" ref="D1885:D1887" si="160">HYPERLINK("https://12go.asia/en/travel/Kvareli-Hotel-Transfer/Kutaisi-Hotel-Transfer", "12Go Link")</f>
        <v>12Go Link</v>
      </c>
      <c r="E1885" s="2" t="s">
        <v>12</v>
      </c>
    </row>
    <row r="1886">
      <c r="A1886" s="2" t="s">
        <v>2084</v>
      </c>
      <c r="B1886" s="2" t="s">
        <v>16</v>
      </c>
      <c r="C1886" s="2" t="s">
        <v>2145</v>
      </c>
      <c r="D1886" s="3" t="str">
        <f t="shared" si="160"/>
        <v>12Go Link</v>
      </c>
      <c r="E1886" s="2" t="s">
        <v>13</v>
      </c>
    </row>
    <row r="1887">
      <c r="A1887" s="2" t="s">
        <v>2084</v>
      </c>
      <c r="B1887" s="2" t="s">
        <v>16</v>
      </c>
      <c r="C1887" s="2" t="s">
        <v>2145</v>
      </c>
      <c r="D1887" s="3" t="str">
        <f t="shared" si="160"/>
        <v>12Go Link</v>
      </c>
      <c r="E1887" s="2" t="s">
        <v>14</v>
      </c>
    </row>
    <row r="1888">
      <c r="A1888" s="2" t="s">
        <v>2084</v>
      </c>
      <c r="B1888" s="2" t="s">
        <v>16</v>
      </c>
      <c r="C1888" s="2" t="s">
        <v>2146</v>
      </c>
      <c r="D1888" s="3" t="str">
        <f t="shared" ref="D1888:D1890" si="161">HYPERLINK("https://12go.asia/en/travel/Lopota-Lake-Hotel-Transfer/Kutaisi-Airport", "12Go Link")</f>
        <v>12Go Link</v>
      </c>
      <c r="E1888" s="2" t="s">
        <v>12</v>
      </c>
    </row>
    <row r="1889">
      <c r="A1889" s="2" t="s">
        <v>2084</v>
      </c>
      <c r="B1889" s="2" t="s">
        <v>16</v>
      </c>
      <c r="C1889" s="2" t="s">
        <v>2146</v>
      </c>
      <c r="D1889" s="3" t="str">
        <f t="shared" si="161"/>
        <v>12Go Link</v>
      </c>
      <c r="E1889" s="2" t="s">
        <v>13</v>
      </c>
    </row>
    <row r="1890">
      <c r="A1890" s="2" t="s">
        <v>2084</v>
      </c>
      <c r="B1890" s="2" t="s">
        <v>16</v>
      </c>
      <c r="C1890" s="2" t="s">
        <v>2146</v>
      </c>
      <c r="D1890" s="3" t="str">
        <f t="shared" si="161"/>
        <v>12Go Link</v>
      </c>
      <c r="E1890" s="2" t="s">
        <v>14</v>
      </c>
    </row>
    <row r="1891">
      <c r="A1891" s="2" t="s">
        <v>2084</v>
      </c>
      <c r="B1891" s="2" t="s">
        <v>16</v>
      </c>
      <c r="C1891" s="2" t="s">
        <v>2147</v>
      </c>
      <c r="D1891" s="3" t="str">
        <f t="shared" ref="D1891:D1893" si="162">HYPERLINK("https://12go.asia/en/travel/Lopota-Lake-Hotel-Transfer/Kutaisi-Hotel-Transfer", "12Go Link")</f>
        <v>12Go Link</v>
      </c>
      <c r="E1891" s="2" t="s">
        <v>12</v>
      </c>
    </row>
    <row r="1892">
      <c r="A1892" s="2" t="s">
        <v>2084</v>
      </c>
      <c r="B1892" s="2" t="s">
        <v>16</v>
      </c>
      <c r="C1892" s="2" t="s">
        <v>2147</v>
      </c>
      <c r="D1892" s="3" t="str">
        <f t="shared" si="162"/>
        <v>12Go Link</v>
      </c>
      <c r="E1892" s="2" t="s">
        <v>13</v>
      </c>
    </row>
    <row r="1893">
      <c r="A1893" s="2" t="s">
        <v>2084</v>
      </c>
      <c r="B1893" s="2" t="s">
        <v>16</v>
      </c>
      <c r="C1893" s="2" t="s">
        <v>2147</v>
      </c>
      <c r="D1893" s="3" t="str">
        <f t="shared" si="162"/>
        <v>12Go Link</v>
      </c>
      <c r="E1893" s="2" t="s">
        <v>14</v>
      </c>
    </row>
    <row r="1894">
      <c r="A1894" s="2" t="s">
        <v>2084</v>
      </c>
      <c r="B1894" s="2" t="s">
        <v>6</v>
      </c>
      <c r="C1894" s="2" t="s">
        <v>2148</v>
      </c>
      <c r="D1894" s="3" t="str">
        <f t="shared" ref="D1894:D1896" si="163">HYPERLINK("https://12go.asia/en/travel/Kvareli-Hotel-Transfer/Tbilisi-Airport", "12Go Link")</f>
        <v>12Go Link</v>
      </c>
      <c r="E1894" s="2" t="s">
        <v>12</v>
      </c>
    </row>
    <row r="1895">
      <c r="A1895" s="2" t="s">
        <v>2084</v>
      </c>
      <c r="B1895" s="2" t="s">
        <v>6</v>
      </c>
      <c r="C1895" s="2" t="s">
        <v>2148</v>
      </c>
      <c r="D1895" s="3" t="str">
        <f t="shared" si="163"/>
        <v>12Go Link</v>
      </c>
      <c r="E1895" s="2" t="s">
        <v>13</v>
      </c>
    </row>
    <row r="1896">
      <c r="A1896" s="2" t="s">
        <v>2084</v>
      </c>
      <c r="B1896" s="2" t="s">
        <v>6</v>
      </c>
      <c r="C1896" s="2" t="s">
        <v>2148</v>
      </c>
      <c r="D1896" s="3" t="str">
        <f t="shared" si="163"/>
        <v>12Go Link</v>
      </c>
      <c r="E1896" s="2" t="s">
        <v>14</v>
      </c>
    </row>
    <row r="1897">
      <c r="A1897" s="2" t="s">
        <v>2084</v>
      </c>
      <c r="B1897" s="2" t="s">
        <v>6</v>
      </c>
      <c r="C1897" s="2" t="s">
        <v>2149</v>
      </c>
      <c r="D1897" s="3" t="str">
        <f t="shared" ref="D1897:D1899" si="164">HYPERLINK("https://12go.asia/en/travel/Kvareli-Hotel-Transfer/Tbilisi-Hotel-Transfer", "12Go Link")</f>
        <v>12Go Link</v>
      </c>
      <c r="E1897" s="2" t="s">
        <v>12</v>
      </c>
    </row>
    <row r="1898">
      <c r="A1898" s="2" t="s">
        <v>2084</v>
      </c>
      <c r="B1898" s="2" t="s">
        <v>6</v>
      </c>
      <c r="C1898" s="2" t="s">
        <v>2149</v>
      </c>
      <c r="D1898" s="3" t="str">
        <f t="shared" si="164"/>
        <v>12Go Link</v>
      </c>
      <c r="E1898" s="2" t="s">
        <v>13</v>
      </c>
    </row>
    <row r="1899">
      <c r="A1899" s="2" t="s">
        <v>2084</v>
      </c>
      <c r="B1899" s="2" t="s">
        <v>6</v>
      </c>
      <c r="C1899" s="2" t="s">
        <v>2149</v>
      </c>
      <c r="D1899" s="3" t="str">
        <f t="shared" si="164"/>
        <v>12Go Link</v>
      </c>
      <c r="E1899" s="2" t="s">
        <v>14</v>
      </c>
    </row>
    <row r="1900">
      <c r="A1900" s="2" t="s">
        <v>2084</v>
      </c>
      <c r="B1900" s="2" t="s">
        <v>6</v>
      </c>
      <c r="C1900" s="2" t="s">
        <v>2150</v>
      </c>
      <c r="D1900" s="3" t="str">
        <f t="shared" ref="D1900:D1902" si="165">HYPERLINK("https://12go.asia/en/travel/Lopota-Lake-Hotel-Transfer/Tbilisi-Airport", "12Go Link")</f>
        <v>12Go Link</v>
      </c>
      <c r="E1900" s="2" t="s">
        <v>12</v>
      </c>
    </row>
    <row r="1901">
      <c r="A1901" s="2" t="s">
        <v>2084</v>
      </c>
      <c r="B1901" s="2" t="s">
        <v>6</v>
      </c>
      <c r="C1901" s="2" t="s">
        <v>2150</v>
      </c>
      <c r="D1901" s="3" t="str">
        <f t="shared" si="165"/>
        <v>12Go Link</v>
      </c>
      <c r="E1901" s="2" t="s">
        <v>13</v>
      </c>
    </row>
    <row r="1902">
      <c r="A1902" s="2" t="s">
        <v>2084</v>
      </c>
      <c r="B1902" s="2" t="s">
        <v>6</v>
      </c>
      <c r="C1902" s="2" t="s">
        <v>2150</v>
      </c>
      <c r="D1902" s="3" t="str">
        <f t="shared" si="165"/>
        <v>12Go Link</v>
      </c>
      <c r="E1902" s="2" t="s">
        <v>14</v>
      </c>
    </row>
    <row r="1903">
      <c r="A1903" s="2" t="s">
        <v>2084</v>
      </c>
      <c r="B1903" s="2" t="s">
        <v>6</v>
      </c>
      <c r="C1903" s="2" t="s">
        <v>2151</v>
      </c>
      <c r="D1903" s="3" t="str">
        <f t="shared" ref="D1903:D1905" si="166">HYPERLINK("https://12go.asia/en/travel/Lopota-Lake-Hotel-Transfer/Tbilisi-Hotel-Transfer", "12Go Link")</f>
        <v>12Go Link</v>
      </c>
      <c r="E1903" s="2" t="s">
        <v>12</v>
      </c>
    </row>
    <row r="1904">
      <c r="A1904" s="2" t="s">
        <v>2084</v>
      </c>
      <c r="B1904" s="2" t="s">
        <v>6</v>
      </c>
      <c r="C1904" s="2" t="s">
        <v>2151</v>
      </c>
      <c r="D1904" s="3" t="str">
        <f t="shared" si="166"/>
        <v>12Go Link</v>
      </c>
      <c r="E1904" s="2" t="s">
        <v>13</v>
      </c>
    </row>
    <row r="1905">
      <c r="A1905" s="2" t="s">
        <v>2084</v>
      </c>
      <c r="B1905" s="2" t="s">
        <v>6</v>
      </c>
      <c r="C1905" s="2" t="s">
        <v>2151</v>
      </c>
      <c r="D1905" s="3" t="str">
        <f t="shared" si="166"/>
        <v>12Go Link</v>
      </c>
      <c r="E1905" s="2" t="s">
        <v>14</v>
      </c>
    </row>
    <row r="1906">
      <c r="A1906" s="2" t="s">
        <v>2089</v>
      </c>
      <c r="B1906" s="2" t="s">
        <v>10</v>
      </c>
      <c r="C1906" s="2" t="s">
        <v>2152</v>
      </c>
      <c r="D1906" s="3" t="str">
        <f t="shared" ref="D1906:D1908" si="167">HYPERLINK("https://12go.asia/en/travel/Kobuleti-Hotel-Transfer/Batumi-Airport", "12Go Link")</f>
        <v>12Go Link</v>
      </c>
      <c r="E1906" s="2" t="s">
        <v>12</v>
      </c>
    </row>
    <row r="1907">
      <c r="A1907" s="2" t="s">
        <v>2089</v>
      </c>
      <c r="B1907" s="2" t="s">
        <v>10</v>
      </c>
      <c r="C1907" s="2" t="s">
        <v>2152</v>
      </c>
      <c r="D1907" s="3" t="str">
        <f t="shared" si="167"/>
        <v>12Go Link</v>
      </c>
      <c r="E1907" s="2" t="s">
        <v>13</v>
      </c>
    </row>
    <row r="1908">
      <c r="A1908" s="2" t="s">
        <v>2089</v>
      </c>
      <c r="B1908" s="2" t="s">
        <v>10</v>
      </c>
      <c r="C1908" s="2" t="s">
        <v>2152</v>
      </c>
      <c r="D1908" s="3" t="str">
        <f t="shared" si="167"/>
        <v>12Go Link</v>
      </c>
      <c r="E1908" s="2" t="s">
        <v>14</v>
      </c>
    </row>
    <row r="1909">
      <c r="A1909" s="2" t="s">
        <v>2089</v>
      </c>
      <c r="B1909" s="2" t="s">
        <v>10</v>
      </c>
      <c r="C1909" s="2" t="s">
        <v>2153</v>
      </c>
      <c r="D1909" s="3" t="str">
        <f t="shared" ref="D1909:D1911" si="168">HYPERLINK("https://12go.asia/en/travel/Kobuleti-Hotel-Transfer/Batumi-Hotel-Transfer", "12Go Link")</f>
        <v>12Go Link</v>
      </c>
      <c r="E1909" s="2" t="s">
        <v>12</v>
      </c>
    </row>
    <row r="1910">
      <c r="A1910" s="2" t="s">
        <v>2089</v>
      </c>
      <c r="B1910" s="2" t="s">
        <v>10</v>
      </c>
      <c r="C1910" s="2" t="s">
        <v>2153</v>
      </c>
      <c r="D1910" s="3" t="str">
        <f t="shared" si="168"/>
        <v>12Go Link</v>
      </c>
      <c r="E1910" s="2" t="s">
        <v>13</v>
      </c>
    </row>
    <row r="1911">
      <c r="A1911" s="2" t="s">
        <v>2089</v>
      </c>
      <c r="B1911" s="2" t="s">
        <v>10</v>
      </c>
      <c r="C1911" s="2" t="s">
        <v>2153</v>
      </c>
      <c r="D1911" s="3" t="str">
        <f t="shared" si="168"/>
        <v>12Go Link</v>
      </c>
      <c r="E1911" s="2" t="s">
        <v>14</v>
      </c>
    </row>
    <row r="1912">
      <c r="A1912" s="2" t="s">
        <v>2089</v>
      </c>
      <c r="B1912" s="2" t="s">
        <v>16</v>
      </c>
      <c r="C1912" s="2" t="s">
        <v>2154</v>
      </c>
      <c r="D1912" s="3" t="str">
        <f t="shared" ref="D1912:D1914" si="169">HYPERLINK("https://12go.asia/en/travel/Kobuleti-Hotel-Transfer/Kutaisi-Airport", "12Go Link")</f>
        <v>12Go Link</v>
      </c>
      <c r="E1912" s="2" t="s">
        <v>12</v>
      </c>
    </row>
    <row r="1913">
      <c r="A1913" s="2" t="s">
        <v>2089</v>
      </c>
      <c r="B1913" s="2" t="s">
        <v>16</v>
      </c>
      <c r="C1913" s="2" t="s">
        <v>2154</v>
      </c>
      <c r="D1913" s="3" t="str">
        <f t="shared" si="169"/>
        <v>12Go Link</v>
      </c>
      <c r="E1913" s="2" t="s">
        <v>13</v>
      </c>
    </row>
    <row r="1914">
      <c r="A1914" s="2" t="s">
        <v>2089</v>
      </c>
      <c r="B1914" s="2" t="s">
        <v>16</v>
      </c>
      <c r="C1914" s="2" t="s">
        <v>2154</v>
      </c>
      <c r="D1914" s="3" t="str">
        <f t="shared" si="169"/>
        <v>12Go Link</v>
      </c>
      <c r="E1914" s="2" t="s">
        <v>14</v>
      </c>
    </row>
    <row r="1915">
      <c r="A1915" s="2" t="s">
        <v>2089</v>
      </c>
      <c r="B1915" s="2" t="s">
        <v>16</v>
      </c>
      <c r="C1915" s="2" t="s">
        <v>2155</v>
      </c>
      <c r="D1915" s="3" t="str">
        <f t="shared" ref="D1915:D1917" si="170">HYPERLINK("https://12go.asia/en/travel/Kobuleti-Hotel-Transfer/Kutaisi-Hotel-Transfer", "12Go Link")</f>
        <v>12Go Link</v>
      </c>
      <c r="E1915" s="2" t="s">
        <v>12</v>
      </c>
    </row>
    <row r="1916">
      <c r="A1916" s="2" t="s">
        <v>2089</v>
      </c>
      <c r="B1916" s="2" t="s">
        <v>16</v>
      </c>
      <c r="C1916" s="2" t="s">
        <v>2155</v>
      </c>
      <c r="D1916" s="3" t="str">
        <f t="shared" si="170"/>
        <v>12Go Link</v>
      </c>
      <c r="E1916" s="2" t="s">
        <v>13</v>
      </c>
    </row>
    <row r="1917">
      <c r="A1917" s="2" t="s">
        <v>2089</v>
      </c>
      <c r="B1917" s="2" t="s">
        <v>16</v>
      </c>
      <c r="C1917" s="2" t="s">
        <v>2155</v>
      </c>
      <c r="D1917" s="3" t="str">
        <f t="shared" si="170"/>
        <v>12Go Link</v>
      </c>
      <c r="E1917" s="2" t="s">
        <v>14</v>
      </c>
    </row>
    <row r="1918">
      <c r="A1918" s="2" t="s">
        <v>2089</v>
      </c>
      <c r="B1918" s="2" t="s">
        <v>6</v>
      </c>
      <c r="C1918" s="2" t="s">
        <v>2156</v>
      </c>
      <c r="D1918" s="3" t="str">
        <f t="shared" ref="D1918:D1920" si="171">HYPERLINK("https://12go.asia/en/travel/Kobuleti-Hotel-Transfer/Tbilisi-Airport", "12Go Link")</f>
        <v>12Go Link</v>
      </c>
      <c r="E1918" s="2" t="s">
        <v>12</v>
      </c>
    </row>
    <row r="1919">
      <c r="A1919" s="2" t="s">
        <v>2089</v>
      </c>
      <c r="B1919" s="2" t="s">
        <v>6</v>
      </c>
      <c r="C1919" s="2" t="s">
        <v>2156</v>
      </c>
      <c r="D1919" s="3" t="str">
        <f t="shared" si="171"/>
        <v>12Go Link</v>
      </c>
      <c r="E1919" s="2" t="s">
        <v>13</v>
      </c>
    </row>
    <row r="1920">
      <c r="A1920" s="2" t="s">
        <v>2089</v>
      </c>
      <c r="B1920" s="2" t="s">
        <v>6</v>
      </c>
      <c r="C1920" s="2" t="s">
        <v>2156</v>
      </c>
      <c r="D1920" s="3" t="str">
        <f t="shared" si="171"/>
        <v>12Go Link</v>
      </c>
      <c r="E1920" s="2" t="s">
        <v>14</v>
      </c>
    </row>
    <row r="1921">
      <c r="A1921" s="2" t="s">
        <v>2089</v>
      </c>
      <c r="B1921" s="2" t="s">
        <v>6</v>
      </c>
      <c r="C1921" s="2" t="s">
        <v>2157</v>
      </c>
      <c r="D1921" s="3" t="str">
        <f t="shared" ref="D1921:D1923" si="172">HYPERLINK("https://12go.asia/en/travel/Kobuleti-Hotel-Transfer/Tbilisi-Hotel-Transfer", "12Go Link")</f>
        <v>12Go Link</v>
      </c>
      <c r="E1921" s="2" t="s">
        <v>12</v>
      </c>
    </row>
    <row r="1922">
      <c r="A1922" s="2" t="s">
        <v>2089</v>
      </c>
      <c r="B1922" s="2" t="s">
        <v>6</v>
      </c>
      <c r="C1922" s="2" t="s">
        <v>2157</v>
      </c>
      <c r="D1922" s="3" t="str">
        <f t="shared" si="172"/>
        <v>12Go Link</v>
      </c>
      <c r="E1922" s="2" t="s">
        <v>13</v>
      </c>
    </row>
    <row r="1923">
      <c r="A1923" s="2" t="s">
        <v>2089</v>
      </c>
      <c r="B1923" s="2" t="s">
        <v>6</v>
      </c>
      <c r="C1923" s="2" t="s">
        <v>2157</v>
      </c>
      <c r="D1923" s="3" t="str">
        <f t="shared" si="172"/>
        <v>12Go Link</v>
      </c>
      <c r="E1923" s="2" t="s">
        <v>14</v>
      </c>
    </row>
    <row r="1924">
      <c r="A1924" s="2" t="s">
        <v>16</v>
      </c>
      <c r="B1924" s="2" t="s">
        <v>9</v>
      </c>
      <c r="C1924" s="2" t="s">
        <v>2158</v>
      </c>
      <c r="D1924" s="3" t="str">
        <f t="shared" ref="D1924:D1926" si="173">HYPERLINK("https://12go.asia/en/travel/Kutaisi-Airport/Yerevan-Hotel-Transfer", "12Go Link")</f>
        <v>12Go Link</v>
      </c>
      <c r="E1924" s="2" t="s">
        <v>12</v>
      </c>
    </row>
    <row r="1925">
      <c r="A1925" s="2" t="s">
        <v>16</v>
      </c>
      <c r="B1925" s="2" t="s">
        <v>9</v>
      </c>
      <c r="C1925" s="2" t="s">
        <v>2158</v>
      </c>
      <c r="D1925" s="3" t="str">
        <f t="shared" si="173"/>
        <v>12Go Link</v>
      </c>
      <c r="E1925" s="2" t="s">
        <v>13</v>
      </c>
    </row>
    <row r="1926">
      <c r="A1926" s="2" t="s">
        <v>16</v>
      </c>
      <c r="B1926" s="2" t="s">
        <v>9</v>
      </c>
      <c r="C1926" s="2" t="s">
        <v>2158</v>
      </c>
      <c r="D1926" s="3" t="str">
        <f t="shared" si="173"/>
        <v>12Go Link</v>
      </c>
      <c r="E1926" s="2" t="s">
        <v>14</v>
      </c>
    </row>
    <row r="1927">
      <c r="A1927" s="2" t="s">
        <v>16</v>
      </c>
      <c r="B1927" s="2" t="s">
        <v>9</v>
      </c>
      <c r="C1927" s="2" t="s">
        <v>2159</v>
      </c>
      <c r="D1927" s="3" t="str">
        <f t="shared" ref="D1927:D1929" si="174">HYPERLINK("https://12go.asia/en/travel/Kutaisi-Hotel-Transfer/Yerevan-Hotel-Transfer", "12Go Link")</f>
        <v>12Go Link</v>
      </c>
      <c r="E1927" s="2" t="s">
        <v>12</v>
      </c>
    </row>
    <row r="1928">
      <c r="A1928" s="2" t="s">
        <v>16</v>
      </c>
      <c r="B1928" s="2" t="s">
        <v>9</v>
      </c>
      <c r="C1928" s="2" t="s">
        <v>2159</v>
      </c>
      <c r="D1928" s="3" t="str">
        <f t="shared" si="174"/>
        <v>12Go Link</v>
      </c>
      <c r="E1928" s="2" t="s">
        <v>13</v>
      </c>
    </row>
    <row r="1929">
      <c r="A1929" s="2" t="s">
        <v>16</v>
      </c>
      <c r="B1929" s="2" t="s">
        <v>9</v>
      </c>
      <c r="C1929" s="2" t="s">
        <v>2159</v>
      </c>
      <c r="D1929" s="3" t="str">
        <f t="shared" si="174"/>
        <v>12Go Link</v>
      </c>
      <c r="E1929" s="2" t="s">
        <v>14</v>
      </c>
    </row>
    <row r="1930">
      <c r="A1930" s="2" t="s">
        <v>16</v>
      </c>
      <c r="B1930" s="2" t="s">
        <v>2051</v>
      </c>
      <c r="C1930" s="2" t="s">
        <v>2160</v>
      </c>
      <c r="D1930" s="3" t="str">
        <f t="shared" ref="D1930:D1932" si="175">HYPERLINK("https://12go.asia/en/travel/Kutaisi-Airport/Akhalkalaki-Hotel-Transfer", "12Go Link")</f>
        <v>12Go Link</v>
      </c>
      <c r="E1930" s="2" t="s">
        <v>12</v>
      </c>
    </row>
    <row r="1931">
      <c r="A1931" s="2" t="s">
        <v>16</v>
      </c>
      <c r="B1931" s="2" t="s">
        <v>2051</v>
      </c>
      <c r="C1931" s="2" t="s">
        <v>2160</v>
      </c>
      <c r="D1931" s="3" t="str">
        <f t="shared" si="175"/>
        <v>12Go Link</v>
      </c>
      <c r="E1931" s="2" t="s">
        <v>13</v>
      </c>
    </row>
    <row r="1932">
      <c r="A1932" s="2" t="s">
        <v>16</v>
      </c>
      <c r="B1932" s="2" t="s">
        <v>2051</v>
      </c>
      <c r="C1932" s="2" t="s">
        <v>2160</v>
      </c>
      <c r="D1932" s="3" t="str">
        <f t="shared" si="175"/>
        <v>12Go Link</v>
      </c>
      <c r="E1932" s="2" t="s">
        <v>14</v>
      </c>
    </row>
    <row r="1933">
      <c r="A1933" s="2" t="s">
        <v>16</v>
      </c>
      <c r="B1933" s="2" t="s">
        <v>2051</v>
      </c>
      <c r="C1933" s="2" t="s">
        <v>2161</v>
      </c>
      <c r="D1933" s="3" t="str">
        <f t="shared" ref="D1933:D1935" si="176">HYPERLINK("https://12go.asia/en/travel/Kutaisi-Hotel-Transfer/Akhalkalaki-Hotel-Transfer", "12Go Link")</f>
        <v>12Go Link</v>
      </c>
      <c r="E1933" s="2" t="s">
        <v>12</v>
      </c>
    </row>
    <row r="1934">
      <c r="A1934" s="2" t="s">
        <v>16</v>
      </c>
      <c r="B1934" s="2" t="s">
        <v>2051</v>
      </c>
      <c r="C1934" s="2" t="s">
        <v>2161</v>
      </c>
      <c r="D1934" s="3" t="str">
        <f t="shared" si="176"/>
        <v>12Go Link</v>
      </c>
      <c r="E1934" s="2" t="s">
        <v>13</v>
      </c>
    </row>
    <row r="1935">
      <c r="A1935" s="2" t="s">
        <v>16</v>
      </c>
      <c r="B1935" s="2" t="s">
        <v>2051</v>
      </c>
      <c r="C1935" s="2" t="s">
        <v>2161</v>
      </c>
      <c r="D1935" s="3" t="str">
        <f t="shared" si="176"/>
        <v>12Go Link</v>
      </c>
      <c r="E1935" s="2" t="s">
        <v>14</v>
      </c>
    </row>
    <row r="1936">
      <c r="A1936" s="2" t="s">
        <v>16</v>
      </c>
      <c r="B1936" s="2" t="s">
        <v>2058</v>
      </c>
      <c r="C1936" s="2" t="s">
        <v>2162</v>
      </c>
      <c r="D1936" s="3" t="str">
        <f t="shared" ref="D1936:D1938" si="177">HYPERLINK("https://12go.asia/en/travel/Kutaisi-Airport/Akhaltsikhe-Hotel-Transfer", "12Go Link")</f>
        <v>12Go Link</v>
      </c>
      <c r="E1936" s="2" t="s">
        <v>12</v>
      </c>
    </row>
    <row r="1937">
      <c r="A1937" s="2" t="s">
        <v>16</v>
      </c>
      <c r="B1937" s="2" t="s">
        <v>2058</v>
      </c>
      <c r="C1937" s="2" t="s">
        <v>2162</v>
      </c>
      <c r="D1937" s="3" t="str">
        <f t="shared" si="177"/>
        <v>12Go Link</v>
      </c>
      <c r="E1937" s="2" t="s">
        <v>13</v>
      </c>
    </row>
    <row r="1938">
      <c r="A1938" s="2" t="s">
        <v>16</v>
      </c>
      <c r="B1938" s="2" t="s">
        <v>2058</v>
      </c>
      <c r="C1938" s="2" t="s">
        <v>2162</v>
      </c>
      <c r="D1938" s="3" t="str">
        <f t="shared" si="177"/>
        <v>12Go Link</v>
      </c>
      <c r="E1938" s="2" t="s">
        <v>14</v>
      </c>
    </row>
    <row r="1939">
      <c r="A1939" s="2" t="s">
        <v>16</v>
      </c>
      <c r="B1939" s="2" t="s">
        <v>2058</v>
      </c>
      <c r="C1939" s="2" t="s">
        <v>2163</v>
      </c>
      <c r="D1939" s="3" t="str">
        <f t="shared" ref="D1939:D1941" si="178">HYPERLINK("https://12go.asia/en/travel/Kutaisi-Hotel-Transfer/Akhaltsikhe-Hotel-Transfer", "12Go Link")</f>
        <v>12Go Link</v>
      </c>
      <c r="E1939" s="2" t="s">
        <v>12</v>
      </c>
    </row>
    <row r="1940">
      <c r="A1940" s="2" t="s">
        <v>16</v>
      </c>
      <c r="B1940" s="2" t="s">
        <v>2058</v>
      </c>
      <c r="C1940" s="2" t="s">
        <v>2163</v>
      </c>
      <c r="D1940" s="3" t="str">
        <f t="shared" si="178"/>
        <v>12Go Link</v>
      </c>
      <c r="E1940" s="2" t="s">
        <v>13</v>
      </c>
    </row>
    <row r="1941">
      <c r="A1941" s="2" t="s">
        <v>16</v>
      </c>
      <c r="B1941" s="2" t="s">
        <v>2058</v>
      </c>
      <c r="C1941" s="2" t="s">
        <v>2163</v>
      </c>
      <c r="D1941" s="3" t="str">
        <f t="shared" si="178"/>
        <v>12Go Link</v>
      </c>
      <c r="E1941" s="2" t="s">
        <v>14</v>
      </c>
    </row>
    <row r="1942">
      <c r="A1942" s="2" t="s">
        <v>16</v>
      </c>
      <c r="B1942" s="2" t="s">
        <v>10</v>
      </c>
      <c r="C1942" s="2" t="s">
        <v>2164</v>
      </c>
      <c r="D1942" s="3" t="str">
        <f t="shared" ref="D1942:D1944" si="179">HYPERLINK("https://12go.asia/en/travel/Kutaisi-Airport/Batumi-Hotel-Transfer", "12Go Link")</f>
        <v>12Go Link</v>
      </c>
      <c r="E1942" s="2" t="s">
        <v>12</v>
      </c>
    </row>
    <row r="1943">
      <c r="A1943" s="2" t="s">
        <v>16</v>
      </c>
      <c r="B1943" s="2" t="s">
        <v>10</v>
      </c>
      <c r="C1943" s="2" t="s">
        <v>2164</v>
      </c>
      <c r="D1943" s="3" t="str">
        <f t="shared" si="179"/>
        <v>12Go Link</v>
      </c>
      <c r="E1943" s="2" t="s">
        <v>13</v>
      </c>
    </row>
    <row r="1944">
      <c r="A1944" s="2" t="s">
        <v>16</v>
      </c>
      <c r="B1944" s="2" t="s">
        <v>10</v>
      </c>
      <c r="C1944" s="2" t="s">
        <v>2164</v>
      </c>
      <c r="D1944" s="3" t="str">
        <f t="shared" si="179"/>
        <v>12Go Link</v>
      </c>
      <c r="E1944" s="2" t="s">
        <v>14</v>
      </c>
    </row>
    <row r="1945">
      <c r="A1945" s="2" t="s">
        <v>16</v>
      </c>
      <c r="B1945" s="2" t="s">
        <v>10</v>
      </c>
      <c r="C1945" s="2" t="s">
        <v>2165</v>
      </c>
      <c r="D1945" s="3" t="str">
        <f t="shared" ref="D1945:D1947" si="180">HYPERLINK("https://12go.asia/en/travel/Kutaisi-Hotel-Transfer/Batumi-Airport", "12Go Link")</f>
        <v>12Go Link</v>
      </c>
      <c r="E1945" s="2" t="s">
        <v>12</v>
      </c>
    </row>
    <row r="1946">
      <c r="A1946" s="2" t="s">
        <v>16</v>
      </c>
      <c r="B1946" s="2" t="s">
        <v>10</v>
      </c>
      <c r="C1946" s="2" t="s">
        <v>2165</v>
      </c>
      <c r="D1946" s="3" t="str">
        <f t="shared" si="180"/>
        <v>12Go Link</v>
      </c>
      <c r="E1946" s="2" t="s">
        <v>13</v>
      </c>
    </row>
    <row r="1947">
      <c r="A1947" s="2" t="s">
        <v>16</v>
      </c>
      <c r="B1947" s="2" t="s">
        <v>10</v>
      </c>
      <c r="C1947" s="2" t="s">
        <v>2165</v>
      </c>
      <c r="D1947" s="3" t="str">
        <f t="shared" si="180"/>
        <v>12Go Link</v>
      </c>
      <c r="E1947" s="2" t="s">
        <v>14</v>
      </c>
    </row>
    <row r="1948">
      <c r="A1948" s="2" t="s">
        <v>16</v>
      </c>
      <c r="B1948" s="2" t="s">
        <v>10</v>
      </c>
      <c r="C1948" s="2" t="s">
        <v>2166</v>
      </c>
      <c r="D1948" s="3" t="str">
        <f t="shared" ref="D1948:D1950" si="181">HYPERLINK("https://12go.asia/en/travel/Kutaisi-Hotel-Transfer/Batumi-Hotel-Transfer", "12Go Link")</f>
        <v>12Go Link</v>
      </c>
      <c r="E1948" s="2" t="s">
        <v>12</v>
      </c>
    </row>
    <row r="1949">
      <c r="A1949" s="2" t="s">
        <v>16</v>
      </c>
      <c r="B1949" s="2" t="s">
        <v>10</v>
      </c>
      <c r="C1949" s="2" t="s">
        <v>2166</v>
      </c>
      <c r="D1949" s="3" t="str">
        <f t="shared" si="181"/>
        <v>12Go Link</v>
      </c>
      <c r="E1949" s="2" t="s">
        <v>13</v>
      </c>
    </row>
    <row r="1950">
      <c r="A1950" s="2" t="s">
        <v>16</v>
      </c>
      <c r="B1950" s="2" t="s">
        <v>10</v>
      </c>
      <c r="C1950" s="2" t="s">
        <v>2166</v>
      </c>
      <c r="D1950" s="3" t="str">
        <f t="shared" si="181"/>
        <v>12Go Link</v>
      </c>
      <c r="E1950" s="2" t="s">
        <v>14</v>
      </c>
    </row>
    <row r="1951">
      <c r="A1951" s="2" t="s">
        <v>16</v>
      </c>
      <c r="B1951" s="2" t="s">
        <v>2073</v>
      </c>
      <c r="C1951" s="2" t="s">
        <v>2167</v>
      </c>
      <c r="D1951" s="3" t="str">
        <f t="shared" ref="D1951:D1953" si="182">HYPERLINK("https://12go.asia/en/travel/Kutaisi-Airport/Bakuriani-Hotel-Transfer", "12Go Link")</f>
        <v>12Go Link</v>
      </c>
      <c r="E1951" s="2" t="s">
        <v>12</v>
      </c>
    </row>
    <row r="1952">
      <c r="A1952" s="2" t="s">
        <v>16</v>
      </c>
      <c r="B1952" s="2" t="s">
        <v>2073</v>
      </c>
      <c r="C1952" s="2" t="s">
        <v>2167</v>
      </c>
      <c r="D1952" s="3" t="str">
        <f t="shared" si="182"/>
        <v>12Go Link</v>
      </c>
      <c r="E1952" s="2" t="s">
        <v>13</v>
      </c>
    </row>
    <row r="1953">
      <c r="A1953" s="2" t="s">
        <v>16</v>
      </c>
      <c r="B1953" s="2" t="s">
        <v>2073</v>
      </c>
      <c r="C1953" s="2" t="s">
        <v>2167</v>
      </c>
      <c r="D1953" s="3" t="str">
        <f t="shared" si="182"/>
        <v>12Go Link</v>
      </c>
      <c r="E1953" s="2" t="s">
        <v>14</v>
      </c>
    </row>
    <row r="1954">
      <c r="A1954" s="2" t="s">
        <v>16</v>
      </c>
      <c r="B1954" s="2" t="s">
        <v>2073</v>
      </c>
      <c r="C1954" s="2" t="s">
        <v>2168</v>
      </c>
      <c r="D1954" s="3" t="str">
        <f t="shared" ref="D1954:D1956" si="183">HYPERLINK("https://12go.asia/en/travel/Kutaisi-Airport/Borjomi-Hotel-Transfer", "12Go Link")</f>
        <v>12Go Link</v>
      </c>
      <c r="E1954" s="2" t="s">
        <v>12</v>
      </c>
    </row>
    <row r="1955">
      <c r="A1955" s="2" t="s">
        <v>16</v>
      </c>
      <c r="B1955" s="2" t="s">
        <v>2073</v>
      </c>
      <c r="C1955" s="2" t="s">
        <v>2168</v>
      </c>
      <c r="D1955" s="3" t="str">
        <f t="shared" si="183"/>
        <v>12Go Link</v>
      </c>
      <c r="E1955" s="2" t="s">
        <v>13</v>
      </c>
    </row>
    <row r="1956">
      <c r="A1956" s="2" t="s">
        <v>16</v>
      </c>
      <c r="B1956" s="2" t="s">
        <v>2073</v>
      </c>
      <c r="C1956" s="2" t="s">
        <v>2168</v>
      </c>
      <c r="D1956" s="3" t="str">
        <f t="shared" si="183"/>
        <v>12Go Link</v>
      </c>
      <c r="E1956" s="2" t="s">
        <v>14</v>
      </c>
    </row>
    <row r="1957">
      <c r="A1957" s="2" t="s">
        <v>16</v>
      </c>
      <c r="B1957" s="2" t="s">
        <v>2073</v>
      </c>
      <c r="C1957" s="2" t="s">
        <v>2169</v>
      </c>
      <c r="D1957" s="3" t="str">
        <f t="shared" ref="D1957:D1959" si="184">HYPERLINK("https://12go.asia/en/travel/Kutaisi-Hotel-Transfer/Bakuriani-Hotel-Transfer", "12Go Link")</f>
        <v>12Go Link</v>
      </c>
      <c r="E1957" s="2" t="s">
        <v>12</v>
      </c>
    </row>
    <row r="1958">
      <c r="A1958" s="2" t="s">
        <v>16</v>
      </c>
      <c r="B1958" s="2" t="s">
        <v>2073</v>
      </c>
      <c r="C1958" s="2" t="s">
        <v>2169</v>
      </c>
      <c r="D1958" s="3" t="str">
        <f t="shared" si="184"/>
        <v>12Go Link</v>
      </c>
      <c r="E1958" s="2" t="s">
        <v>13</v>
      </c>
    </row>
    <row r="1959">
      <c r="A1959" s="2" t="s">
        <v>16</v>
      </c>
      <c r="B1959" s="2" t="s">
        <v>2073</v>
      </c>
      <c r="C1959" s="2" t="s">
        <v>2169</v>
      </c>
      <c r="D1959" s="3" t="str">
        <f t="shared" si="184"/>
        <v>12Go Link</v>
      </c>
      <c r="E1959" s="2" t="s">
        <v>14</v>
      </c>
    </row>
    <row r="1960">
      <c r="A1960" s="2" t="s">
        <v>16</v>
      </c>
      <c r="B1960" s="2" t="s">
        <v>2073</v>
      </c>
      <c r="C1960" s="2" t="s">
        <v>2170</v>
      </c>
      <c r="D1960" s="3" t="str">
        <f t="shared" ref="D1960:D1962" si="185">HYPERLINK("https://12go.asia/en/travel/Kutaisi-Hotel-Transfer/Borjomi-Hotel-Transfer", "12Go Link")</f>
        <v>12Go Link</v>
      </c>
      <c r="E1960" s="2" t="s">
        <v>12</v>
      </c>
    </row>
    <row r="1961">
      <c r="A1961" s="2" t="s">
        <v>16</v>
      </c>
      <c r="B1961" s="2" t="s">
        <v>2073</v>
      </c>
      <c r="C1961" s="2" t="s">
        <v>2170</v>
      </c>
      <c r="D1961" s="3" t="str">
        <f t="shared" si="185"/>
        <v>12Go Link</v>
      </c>
      <c r="E1961" s="2" t="s">
        <v>13</v>
      </c>
    </row>
    <row r="1962">
      <c r="A1962" s="2" t="s">
        <v>16</v>
      </c>
      <c r="B1962" s="2" t="s">
        <v>2073</v>
      </c>
      <c r="C1962" s="2" t="s">
        <v>2170</v>
      </c>
      <c r="D1962" s="3" t="str">
        <f t="shared" si="185"/>
        <v>12Go Link</v>
      </c>
      <c r="E1962" s="2" t="s">
        <v>14</v>
      </c>
    </row>
    <row r="1963">
      <c r="A1963" s="2" t="s">
        <v>16</v>
      </c>
      <c r="B1963" s="2" t="s">
        <v>2078</v>
      </c>
      <c r="C1963" s="2" t="s">
        <v>2171</v>
      </c>
      <c r="D1963" s="3" t="str">
        <f t="shared" ref="D1963:D1965" si="186">HYPERLINK("https://12go.asia/en/travel/Kutaisi-Airport/Gori-Hotel-Transfer", "12Go Link")</f>
        <v>12Go Link</v>
      </c>
      <c r="E1963" s="2" t="s">
        <v>12</v>
      </c>
    </row>
    <row r="1964">
      <c r="A1964" s="2" t="s">
        <v>16</v>
      </c>
      <c r="B1964" s="2" t="s">
        <v>2078</v>
      </c>
      <c r="C1964" s="2" t="s">
        <v>2171</v>
      </c>
      <c r="D1964" s="3" t="str">
        <f t="shared" si="186"/>
        <v>12Go Link</v>
      </c>
      <c r="E1964" s="2" t="s">
        <v>13</v>
      </c>
    </row>
    <row r="1965">
      <c r="A1965" s="2" t="s">
        <v>16</v>
      </c>
      <c r="B1965" s="2" t="s">
        <v>2078</v>
      </c>
      <c r="C1965" s="2" t="s">
        <v>2171</v>
      </c>
      <c r="D1965" s="3" t="str">
        <f t="shared" si="186"/>
        <v>12Go Link</v>
      </c>
      <c r="E1965" s="2" t="s">
        <v>14</v>
      </c>
    </row>
    <row r="1966">
      <c r="A1966" s="2" t="s">
        <v>16</v>
      </c>
      <c r="B1966" s="2" t="s">
        <v>2078</v>
      </c>
      <c r="C1966" s="2" t="s">
        <v>2172</v>
      </c>
      <c r="D1966" s="3" t="str">
        <f t="shared" ref="D1966:D1968" si="187">HYPERLINK("https://12go.asia/en/travel/Kutaisi-Hotel-Transfer/Gori-Hotel-Transfer", "12Go Link")</f>
        <v>12Go Link</v>
      </c>
      <c r="E1966" s="2" t="s">
        <v>12</v>
      </c>
    </row>
    <row r="1967">
      <c r="A1967" s="2" t="s">
        <v>16</v>
      </c>
      <c r="B1967" s="2" t="s">
        <v>2078</v>
      </c>
      <c r="C1967" s="2" t="s">
        <v>2172</v>
      </c>
      <c r="D1967" s="3" t="str">
        <f t="shared" si="187"/>
        <v>12Go Link</v>
      </c>
      <c r="E1967" s="2" t="s">
        <v>13</v>
      </c>
    </row>
    <row r="1968">
      <c r="A1968" s="2" t="s">
        <v>16</v>
      </c>
      <c r="B1968" s="2" t="s">
        <v>2078</v>
      </c>
      <c r="C1968" s="2" t="s">
        <v>2172</v>
      </c>
      <c r="D1968" s="3" t="str">
        <f t="shared" si="187"/>
        <v>12Go Link</v>
      </c>
      <c r="E1968" s="2" t="s">
        <v>14</v>
      </c>
    </row>
    <row r="1969">
      <c r="A1969" s="2" t="s">
        <v>16</v>
      </c>
      <c r="B1969" s="2" t="s">
        <v>2081</v>
      </c>
      <c r="C1969" s="2" t="s">
        <v>2173</v>
      </c>
      <c r="D1969" s="3" t="str">
        <f t="shared" ref="D1969:D1971" si="188">HYPERLINK("https://12go.asia/en/travel/Kutaisi-Airport/Gudauri-Hotel-Transfer", "12Go Link")</f>
        <v>12Go Link</v>
      </c>
      <c r="E1969" s="2" t="s">
        <v>12</v>
      </c>
    </row>
    <row r="1970">
      <c r="A1970" s="2" t="s">
        <v>16</v>
      </c>
      <c r="B1970" s="2" t="s">
        <v>2081</v>
      </c>
      <c r="C1970" s="2" t="s">
        <v>2173</v>
      </c>
      <c r="D1970" s="3" t="str">
        <f t="shared" si="188"/>
        <v>12Go Link</v>
      </c>
      <c r="E1970" s="2" t="s">
        <v>13</v>
      </c>
    </row>
    <row r="1971">
      <c r="A1971" s="2" t="s">
        <v>16</v>
      </c>
      <c r="B1971" s="2" t="s">
        <v>2081</v>
      </c>
      <c r="C1971" s="2" t="s">
        <v>2173</v>
      </c>
      <c r="D1971" s="3" t="str">
        <f t="shared" si="188"/>
        <v>12Go Link</v>
      </c>
      <c r="E1971" s="2" t="s">
        <v>14</v>
      </c>
    </row>
    <row r="1972">
      <c r="A1972" s="2" t="s">
        <v>16</v>
      </c>
      <c r="B1972" s="2" t="s">
        <v>2081</v>
      </c>
      <c r="C1972" s="2" t="s">
        <v>2174</v>
      </c>
      <c r="D1972" s="3" t="str">
        <f t="shared" ref="D1972:D1974" si="189">HYPERLINK("https://12go.asia/en/travel/Kutaisi-Hotel-Transfer/Gudauri-Hotel-Transfer", "12Go Link")</f>
        <v>12Go Link</v>
      </c>
      <c r="E1972" s="2" t="s">
        <v>12</v>
      </c>
    </row>
    <row r="1973">
      <c r="A1973" s="2" t="s">
        <v>16</v>
      </c>
      <c r="B1973" s="2" t="s">
        <v>2081</v>
      </c>
      <c r="C1973" s="2" t="s">
        <v>2174</v>
      </c>
      <c r="D1973" s="3" t="str">
        <f t="shared" si="189"/>
        <v>12Go Link</v>
      </c>
      <c r="E1973" s="2" t="s">
        <v>13</v>
      </c>
    </row>
    <row r="1974">
      <c r="A1974" s="2" t="s">
        <v>16</v>
      </c>
      <c r="B1974" s="2" t="s">
        <v>2081</v>
      </c>
      <c r="C1974" s="2" t="s">
        <v>2174</v>
      </c>
      <c r="D1974" s="3" t="str">
        <f t="shared" si="189"/>
        <v>12Go Link</v>
      </c>
      <c r="E1974" s="2" t="s">
        <v>14</v>
      </c>
    </row>
    <row r="1975">
      <c r="A1975" s="2" t="s">
        <v>16</v>
      </c>
      <c r="B1975" s="2" t="s">
        <v>2084</v>
      </c>
      <c r="C1975" s="2" t="s">
        <v>2175</v>
      </c>
      <c r="D1975" s="3" t="str">
        <f t="shared" ref="D1975:D1977" si="190">HYPERLINK("https://12go.asia/en/travel/Kutaisi-Airport/Kvareli-Hotel-Transfer", "12Go Link")</f>
        <v>12Go Link</v>
      </c>
      <c r="E1975" s="2" t="s">
        <v>12</v>
      </c>
    </row>
    <row r="1976">
      <c r="A1976" s="2" t="s">
        <v>16</v>
      </c>
      <c r="B1976" s="2" t="s">
        <v>2084</v>
      </c>
      <c r="C1976" s="2" t="s">
        <v>2175</v>
      </c>
      <c r="D1976" s="3" t="str">
        <f t="shared" si="190"/>
        <v>12Go Link</v>
      </c>
      <c r="E1976" s="2" t="s">
        <v>13</v>
      </c>
    </row>
    <row r="1977">
      <c r="A1977" s="2" t="s">
        <v>16</v>
      </c>
      <c r="B1977" s="2" t="s">
        <v>2084</v>
      </c>
      <c r="C1977" s="2" t="s">
        <v>2175</v>
      </c>
      <c r="D1977" s="3" t="str">
        <f t="shared" si="190"/>
        <v>12Go Link</v>
      </c>
      <c r="E1977" s="2" t="s">
        <v>14</v>
      </c>
    </row>
    <row r="1978">
      <c r="A1978" s="2" t="s">
        <v>16</v>
      </c>
      <c r="B1978" s="2" t="s">
        <v>2084</v>
      </c>
      <c r="C1978" s="2" t="s">
        <v>2176</v>
      </c>
      <c r="D1978" s="3" t="str">
        <f t="shared" ref="D1978:D1980" si="191">HYPERLINK("https://12go.asia/en/travel/Kutaisi-Airport/Lopota-Lake-Hotel-Transfer", "12Go Link")</f>
        <v>12Go Link</v>
      </c>
      <c r="E1978" s="2" t="s">
        <v>12</v>
      </c>
    </row>
    <row r="1979">
      <c r="A1979" s="2" t="s">
        <v>16</v>
      </c>
      <c r="B1979" s="2" t="s">
        <v>2084</v>
      </c>
      <c r="C1979" s="2" t="s">
        <v>2176</v>
      </c>
      <c r="D1979" s="3" t="str">
        <f t="shared" si="191"/>
        <v>12Go Link</v>
      </c>
      <c r="E1979" s="2" t="s">
        <v>13</v>
      </c>
    </row>
    <row r="1980">
      <c r="A1980" s="2" t="s">
        <v>16</v>
      </c>
      <c r="B1980" s="2" t="s">
        <v>2084</v>
      </c>
      <c r="C1980" s="2" t="s">
        <v>2176</v>
      </c>
      <c r="D1980" s="3" t="str">
        <f t="shared" si="191"/>
        <v>12Go Link</v>
      </c>
      <c r="E1980" s="2" t="s">
        <v>14</v>
      </c>
    </row>
    <row r="1981">
      <c r="A1981" s="2" t="s">
        <v>16</v>
      </c>
      <c r="B1981" s="2" t="s">
        <v>2084</v>
      </c>
      <c r="C1981" s="2" t="s">
        <v>2177</v>
      </c>
      <c r="D1981" s="3" t="str">
        <f t="shared" ref="D1981:D1983" si="192">HYPERLINK("https://12go.asia/en/travel/Kutaisi-Hotel-Transfer/Kvareli-Hotel-Transfer", "12Go Link")</f>
        <v>12Go Link</v>
      </c>
      <c r="E1981" s="2" t="s">
        <v>12</v>
      </c>
    </row>
    <row r="1982">
      <c r="A1982" s="2" t="s">
        <v>16</v>
      </c>
      <c r="B1982" s="2" t="s">
        <v>2084</v>
      </c>
      <c r="C1982" s="2" t="s">
        <v>2177</v>
      </c>
      <c r="D1982" s="3" t="str">
        <f t="shared" si="192"/>
        <v>12Go Link</v>
      </c>
      <c r="E1982" s="2" t="s">
        <v>13</v>
      </c>
    </row>
    <row r="1983">
      <c r="A1983" s="2" t="s">
        <v>16</v>
      </c>
      <c r="B1983" s="2" t="s">
        <v>2084</v>
      </c>
      <c r="C1983" s="2" t="s">
        <v>2177</v>
      </c>
      <c r="D1983" s="3" t="str">
        <f t="shared" si="192"/>
        <v>12Go Link</v>
      </c>
      <c r="E1983" s="2" t="s">
        <v>14</v>
      </c>
    </row>
    <row r="1984">
      <c r="A1984" s="2" t="s">
        <v>16</v>
      </c>
      <c r="B1984" s="2" t="s">
        <v>2084</v>
      </c>
      <c r="C1984" s="2" t="s">
        <v>2178</v>
      </c>
      <c r="D1984" s="3" t="str">
        <f t="shared" ref="D1984:D1986" si="193">HYPERLINK("https://12go.asia/en/travel/Kutaisi-Hotel-Transfer/Lopota-Lake-Hotel-Transfer", "12Go Link")</f>
        <v>12Go Link</v>
      </c>
      <c r="E1984" s="2" t="s">
        <v>12</v>
      </c>
    </row>
    <row r="1985">
      <c r="A1985" s="2" t="s">
        <v>16</v>
      </c>
      <c r="B1985" s="2" t="s">
        <v>2084</v>
      </c>
      <c r="C1985" s="2" t="s">
        <v>2178</v>
      </c>
      <c r="D1985" s="3" t="str">
        <f t="shared" si="193"/>
        <v>12Go Link</v>
      </c>
      <c r="E1985" s="2" t="s">
        <v>13</v>
      </c>
    </row>
    <row r="1986">
      <c r="A1986" s="2" t="s">
        <v>16</v>
      </c>
      <c r="B1986" s="2" t="s">
        <v>2084</v>
      </c>
      <c r="C1986" s="2" t="s">
        <v>2178</v>
      </c>
      <c r="D1986" s="3" t="str">
        <f t="shared" si="193"/>
        <v>12Go Link</v>
      </c>
      <c r="E1986" s="2" t="s">
        <v>14</v>
      </c>
    </row>
    <row r="1987">
      <c r="A1987" s="2" t="s">
        <v>16</v>
      </c>
      <c r="B1987" s="2" t="s">
        <v>2089</v>
      </c>
      <c r="C1987" s="2" t="s">
        <v>2179</v>
      </c>
      <c r="D1987" s="3" t="str">
        <f t="shared" ref="D1987:D1989" si="194">HYPERLINK("https://12go.asia/en/travel/Kutaisi-Airport/Kobuleti-Hotel-Transfer", "12Go Link")</f>
        <v>12Go Link</v>
      </c>
      <c r="E1987" s="2" t="s">
        <v>12</v>
      </c>
    </row>
    <row r="1988">
      <c r="A1988" s="2" t="s">
        <v>16</v>
      </c>
      <c r="B1988" s="2" t="s">
        <v>2089</v>
      </c>
      <c r="C1988" s="2" t="s">
        <v>2179</v>
      </c>
      <c r="D1988" s="3" t="str">
        <f t="shared" si="194"/>
        <v>12Go Link</v>
      </c>
      <c r="E1988" s="2" t="s">
        <v>13</v>
      </c>
    </row>
    <row r="1989">
      <c r="A1989" s="2" t="s">
        <v>16</v>
      </c>
      <c r="B1989" s="2" t="s">
        <v>2089</v>
      </c>
      <c r="C1989" s="2" t="s">
        <v>2179</v>
      </c>
      <c r="D1989" s="3" t="str">
        <f t="shared" si="194"/>
        <v>12Go Link</v>
      </c>
      <c r="E1989" s="2" t="s">
        <v>14</v>
      </c>
    </row>
    <row r="1990">
      <c r="A1990" s="2" t="s">
        <v>16</v>
      </c>
      <c r="B1990" s="2" t="s">
        <v>2089</v>
      </c>
      <c r="C1990" s="2" t="s">
        <v>2180</v>
      </c>
      <c r="D1990" s="3" t="str">
        <f t="shared" ref="D1990:D1992" si="195">HYPERLINK("https://12go.asia/en/travel/Kutaisi-Hotel-Transfer/Kobuleti-Hotel-Transfer", "12Go Link")</f>
        <v>12Go Link</v>
      </c>
      <c r="E1990" s="2" t="s">
        <v>12</v>
      </c>
    </row>
    <row r="1991">
      <c r="A1991" s="2" t="s">
        <v>16</v>
      </c>
      <c r="B1991" s="2" t="s">
        <v>2089</v>
      </c>
      <c r="C1991" s="2" t="s">
        <v>2180</v>
      </c>
      <c r="D1991" s="3" t="str">
        <f t="shared" si="195"/>
        <v>12Go Link</v>
      </c>
      <c r="E1991" s="2" t="s">
        <v>13</v>
      </c>
    </row>
    <row r="1992">
      <c r="A1992" s="2" t="s">
        <v>16</v>
      </c>
      <c r="B1992" s="2" t="s">
        <v>2089</v>
      </c>
      <c r="C1992" s="2" t="s">
        <v>2180</v>
      </c>
      <c r="D1992" s="3" t="str">
        <f t="shared" si="195"/>
        <v>12Go Link</v>
      </c>
      <c r="E1992" s="2" t="s">
        <v>14</v>
      </c>
    </row>
    <row r="1993">
      <c r="A1993" s="2" t="s">
        <v>16</v>
      </c>
      <c r="B1993" s="2" t="s">
        <v>16</v>
      </c>
      <c r="C1993" s="2" t="s">
        <v>2181</v>
      </c>
      <c r="D1993" s="3" t="str">
        <f t="shared" ref="D1993:D1995" si="196">HYPERLINK("https://12go.asia/en/travel/Kutaisi-Airport/Kutaisi-Hotel-Transfer", "12Go Link")</f>
        <v>12Go Link</v>
      </c>
      <c r="E1993" s="2" t="s">
        <v>12</v>
      </c>
    </row>
    <row r="1994">
      <c r="A1994" s="2" t="s">
        <v>16</v>
      </c>
      <c r="B1994" s="2" t="s">
        <v>16</v>
      </c>
      <c r="C1994" s="2" t="s">
        <v>2181</v>
      </c>
      <c r="D1994" s="3" t="str">
        <f t="shared" si="196"/>
        <v>12Go Link</v>
      </c>
      <c r="E1994" s="2" t="s">
        <v>13</v>
      </c>
    </row>
    <row r="1995">
      <c r="A1995" s="2" t="s">
        <v>16</v>
      </c>
      <c r="B1995" s="2" t="s">
        <v>16</v>
      </c>
      <c r="C1995" s="2" t="s">
        <v>2181</v>
      </c>
      <c r="D1995" s="3" t="str">
        <f t="shared" si="196"/>
        <v>12Go Link</v>
      </c>
      <c r="E1995" s="2" t="s">
        <v>14</v>
      </c>
    </row>
    <row r="1996">
      <c r="A1996" s="2" t="s">
        <v>16</v>
      </c>
      <c r="B1996" s="2" t="s">
        <v>16</v>
      </c>
      <c r="C1996" s="2" t="s">
        <v>2182</v>
      </c>
      <c r="D1996" s="3" t="str">
        <f t="shared" ref="D1996:D1998" si="197">HYPERLINK("https://12go.asia/en/travel/Kutaisi-Hotel-Transfer/Kutaisi-Airport", "12Go Link")</f>
        <v>12Go Link</v>
      </c>
      <c r="E1996" s="2" t="s">
        <v>12</v>
      </c>
    </row>
    <row r="1997">
      <c r="A1997" s="2" t="s">
        <v>16</v>
      </c>
      <c r="B1997" s="2" t="s">
        <v>16</v>
      </c>
      <c r="C1997" s="2" t="s">
        <v>2182</v>
      </c>
      <c r="D1997" s="3" t="str">
        <f t="shared" si="197"/>
        <v>12Go Link</v>
      </c>
      <c r="E1997" s="2" t="s">
        <v>13</v>
      </c>
    </row>
    <row r="1998">
      <c r="A1998" s="2" t="s">
        <v>16</v>
      </c>
      <c r="B1998" s="2" t="s">
        <v>16</v>
      </c>
      <c r="C1998" s="2" t="s">
        <v>2182</v>
      </c>
      <c r="D1998" s="3" t="str">
        <f t="shared" si="197"/>
        <v>12Go Link</v>
      </c>
      <c r="E1998" s="2" t="s">
        <v>14</v>
      </c>
    </row>
    <row r="1999">
      <c r="A1999" s="2" t="s">
        <v>16</v>
      </c>
      <c r="B1999" s="2" t="s">
        <v>2095</v>
      </c>
      <c r="C1999" s="2" t="s">
        <v>2183</v>
      </c>
      <c r="D1999" s="3" t="str">
        <f t="shared" ref="D1999:D2001" si="198">HYPERLINK("https://12go.asia/en/travel/Kutaisi-Airport/Mestia-Hotel-Transfer", "12Go Link")</f>
        <v>12Go Link</v>
      </c>
      <c r="E1999" s="2" t="s">
        <v>12</v>
      </c>
    </row>
    <row r="2000">
      <c r="A2000" s="2" t="s">
        <v>16</v>
      </c>
      <c r="B2000" s="2" t="s">
        <v>2095</v>
      </c>
      <c r="C2000" s="2" t="s">
        <v>2183</v>
      </c>
      <c r="D2000" s="3" t="str">
        <f t="shared" si="198"/>
        <v>12Go Link</v>
      </c>
      <c r="E2000" s="2" t="s">
        <v>13</v>
      </c>
    </row>
    <row r="2001">
      <c r="A2001" s="2" t="s">
        <v>16</v>
      </c>
      <c r="B2001" s="2" t="s">
        <v>2095</v>
      </c>
      <c r="C2001" s="2" t="s">
        <v>2183</v>
      </c>
      <c r="D2001" s="3" t="str">
        <f t="shared" si="198"/>
        <v>12Go Link</v>
      </c>
      <c r="E2001" s="2" t="s">
        <v>14</v>
      </c>
    </row>
    <row r="2002">
      <c r="A2002" s="2" t="s">
        <v>16</v>
      </c>
      <c r="B2002" s="2" t="s">
        <v>2095</v>
      </c>
      <c r="C2002" s="2" t="s">
        <v>2184</v>
      </c>
      <c r="D2002" s="3" t="str">
        <f t="shared" ref="D2002:D2004" si="199">HYPERLINK("https://12go.asia/en/travel/Kutaisi-Hotel-Transfer/Mestia-Hotel-Transfer", "12Go Link")</f>
        <v>12Go Link</v>
      </c>
      <c r="E2002" s="2" t="s">
        <v>12</v>
      </c>
    </row>
    <row r="2003">
      <c r="A2003" s="2" t="s">
        <v>16</v>
      </c>
      <c r="B2003" s="2" t="s">
        <v>2095</v>
      </c>
      <c r="C2003" s="2" t="s">
        <v>2184</v>
      </c>
      <c r="D2003" s="3" t="str">
        <f t="shared" si="199"/>
        <v>12Go Link</v>
      </c>
      <c r="E2003" s="2" t="s">
        <v>13</v>
      </c>
    </row>
    <row r="2004">
      <c r="A2004" s="2" t="s">
        <v>16</v>
      </c>
      <c r="B2004" s="2" t="s">
        <v>2095</v>
      </c>
      <c r="C2004" s="2" t="s">
        <v>2184</v>
      </c>
      <c r="D2004" s="3" t="str">
        <f t="shared" si="199"/>
        <v>12Go Link</v>
      </c>
      <c r="E2004" s="2" t="s">
        <v>14</v>
      </c>
    </row>
    <row r="2005">
      <c r="A2005" s="2" t="s">
        <v>16</v>
      </c>
      <c r="B2005" s="2" t="s">
        <v>2098</v>
      </c>
      <c r="C2005" s="2" t="s">
        <v>2185</v>
      </c>
      <c r="D2005" s="3" t="str">
        <f t="shared" ref="D2005:D2007" si="200">HYPERLINK("https://12go.asia/en/travel/Kutaisi-Airport/Stepantsminda-Hotel-Transfer", "12Go Link")</f>
        <v>12Go Link</v>
      </c>
      <c r="E2005" s="2" t="s">
        <v>12</v>
      </c>
    </row>
    <row r="2006">
      <c r="A2006" s="2" t="s">
        <v>16</v>
      </c>
      <c r="B2006" s="2" t="s">
        <v>2098</v>
      </c>
      <c r="C2006" s="2" t="s">
        <v>2185</v>
      </c>
      <c r="D2006" s="3" t="str">
        <f t="shared" si="200"/>
        <v>12Go Link</v>
      </c>
      <c r="E2006" s="2" t="s">
        <v>13</v>
      </c>
    </row>
    <row r="2007">
      <c r="A2007" s="2" t="s">
        <v>16</v>
      </c>
      <c r="B2007" s="2" t="s">
        <v>2098</v>
      </c>
      <c r="C2007" s="2" t="s">
        <v>2185</v>
      </c>
      <c r="D2007" s="3" t="str">
        <f t="shared" si="200"/>
        <v>12Go Link</v>
      </c>
      <c r="E2007" s="2" t="s">
        <v>14</v>
      </c>
    </row>
    <row r="2008">
      <c r="A2008" s="2" t="s">
        <v>16</v>
      </c>
      <c r="B2008" s="2" t="s">
        <v>2098</v>
      </c>
      <c r="C2008" s="2" t="s">
        <v>2186</v>
      </c>
      <c r="D2008" s="3" t="str">
        <f t="shared" ref="D2008:D2010" si="201">HYPERLINK("https://12go.asia/en/travel/Kutaisi-Hotel-Transfer/Stepantsminda-Hotel-Transfer", "12Go Link")</f>
        <v>12Go Link</v>
      </c>
      <c r="E2008" s="2" t="s">
        <v>12</v>
      </c>
    </row>
    <row r="2009">
      <c r="A2009" s="2" t="s">
        <v>16</v>
      </c>
      <c r="B2009" s="2" t="s">
        <v>2098</v>
      </c>
      <c r="C2009" s="2" t="s">
        <v>2186</v>
      </c>
      <c r="D2009" s="3" t="str">
        <f t="shared" si="201"/>
        <v>12Go Link</v>
      </c>
      <c r="E2009" s="2" t="s">
        <v>13</v>
      </c>
    </row>
    <row r="2010">
      <c r="A2010" s="2" t="s">
        <v>16</v>
      </c>
      <c r="B2010" s="2" t="s">
        <v>2098</v>
      </c>
      <c r="C2010" s="2" t="s">
        <v>2186</v>
      </c>
      <c r="D2010" s="3" t="str">
        <f t="shared" si="201"/>
        <v>12Go Link</v>
      </c>
      <c r="E2010" s="2" t="s">
        <v>14</v>
      </c>
    </row>
    <row r="2011">
      <c r="A2011" s="2" t="s">
        <v>16</v>
      </c>
      <c r="B2011" s="2" t="s">
        <v>2104</v>
      </c>
      <c r="C2011" s="2" t="s">
        <v>2187</v>
      </c>
      <c r="D2011" s="3" t="str">
        <f t="shared" ref="D2011:D2013" si="202">HYPERLINK("https://12go.asia/en/travel/Kutaisi-Airport/Sighnaghi-Hotel-Transfer", "12Go Link")</f>
        <v>12Go Link</v>
      </c>
      <c r="E2011" s="2" t="s">
        <v>12</v>
      </c>
    </row>
    <row r="2012">
      <c r="A2012" s="2" t="s">
        <v>16</v>
      </c>
      <c r="B2012" s="2" t="s">
        <v>2104</v>
      </c>
      <c r="C2012" s="2" t="s">
        <v>2187</v>
      </c>
      <c r="D2012" s="3" t="str">
        <f t="shared" si="202"/>
        <v>12Go Link</v>
      </c>
      <c r="E2012" s="2" t="s">
        <v>13</v>
      </c>
    </row>
    <row r="2013">
      <c r="A2013" s="2" t="s">
        <v>16</v>
      </c>
      <c r="B2013" s="2" t="s">
        <v>2104</v>
      </c>
      <c r="C2013" s="2" t="s">
        <v>2187</v>
      </c>
      <c r="D2013" s="3" t="str">
        <f t="shared" si="202"/>
        <v>12Go Link</v>
      </c>
      <c r="E2013" s="2" t="s">
        <v>14</v>
      </c>
    </row>
    <row r="2014">
      <c r="A2014" s="2" t="s">
        <v>16</v>
      </c>
      <c r="B2014" s="2" t="s">
        <v>2104</v>
      </c>
      <c r="C2014" s="2" t="s">
        <v>2188</v>
      </c>
      <c r="D2014" s="3" t="str">
        <f t="shared" ref="D2014:D2016" si="203">HYPERLINK("https://12go.asia/en/travel/Kutaisi-Hotel-Transfer/Sighnaghi-Hotel-Transfer", "12Go Link")</f>
        <v>12Go Link</v>
      </c>
      <c r="E2014" s="2" t="s">
        <v>12</v>
      </c>
    </row>
    <row r="2015">
      <c r="A2015" s="2" t="s">
        <v>16</v>
      </c>
      <c r="B2015" s="2" t="s">
        <v>2104</v>
      </c>
      <c r="C2015" s="2" t="s">
        <v>2188</v>
      </c>
      <c r="D2015" s="3" t="str">
        <f t="shared" si="203"/>
        <v>12Go Link</v>
      </c>
      <c r="E2015" s="2" t="s">
        <v>13</v>
      </c>
    </row>
    <row r="2016">
      <c r="A2016" s="2" t="s">
        <v>16</v>
      </c>
      <c r="B2016" s="2" t="s">
        <v>2104</v>
      </c>
      <c r="C2016" s="2" t="s">
        <v>2188</v>
      </c>
      <c r="D2016" s="3" t="str">
        <f t="shared" si="203"/>
        <v>12Go Link</v>
      </c>
      <c r="E2016" s="2" t="s">
        <v>14</v>
      </c>
    </row>
    <row r="2017">
      <c r="A2017" s="2" t="s">
        <v>16</v>
      </c>
      <c r="B2017" s="2" t="s">
        <v>6</v>
      </c>
      <c r="C2017" s="2" t="s">
        <v>2189</v>
      </c>
      <c r="D2017" s="3" t="str">
        <f t="shared" ref="D2017:D2019" si="204">HYPERLINK("https://12go.asia/en/travel/Kutaisi-Airport/Tbilisi-Hotel-Transfer", "12Go Link")</f>
        <v>12Go Link</v>
      </c>
      <c r="E2017" s="2" t="s">
        <v>12</v>
      </c>
    </row>
    <row r="2018">
      <c r="A2018" s="2" t="s">
        <v>16</v>
      </c>
      <c r="B2018" s="2" t="s">
        <v>6</v>
      </c>
      <c r="C2018" s="2" t="s">
        <v>2189</v>
      </c>
      <c r="D2018" s="3" t="str">
        <f t="shared" si="204"/>
        <v>12Go Link</v>
      </c>
      <c r="E2018" s="2" t="s">
        <v>13</v>
      </c>
    </row>
    <row r="2019">
      <c r="A2019" s="2" t="s">
        <v>16</v>
      </c>
      <c r="B2019" s="2" t="s">
        <v>6</v>
      </c>
      <c r="C2019" s="2" t="s">
        <v>2189</v>
      </c>
      <c r="D2019" s="3" t="str">
        <f t="shared" si="204"/>
        <v>12Go Link</v>
      </c>
      <c r="E2019" s="2" t="s">
        <v>14</v>
      </c>
    </row>
    <row r="2020">
      <c r="A2020" s="2" t="s">
        <v>16</v>
      </c>
      <c r="B2020" s="2" t="s">
        <v>6</v>
      </c>
      <c r="C2020" s="2" t="s">
        <v>2190</v>
      </c>
      <c r="D2020" s="3" t="str">
        <f t="shared" ref="D2020:D2022" si="205">HYPERLINK("https://12go.asia/en/travel/Kutaisi-Hotel-Transfer/Tbilisi-Airport", "12Go Link")</f>
        <v>12Go Link</v>
      </c>
      <c r="E2020" s="2" t="s">
        <v>12</v>
      </c>
    </row>
    <row r="2021">
      <c r="A2021" s="2" t="s">
        <v>16</v>
      </c>
      <c r="B2021" s="2" t="s">
        <v>6</v>
      </c>
      <c r="C2021" s="2" t="s">
        <v>2190</v>
      </c>
      <c r="D2021" s="3" t="str">
        <f t="shared" si="205"/>
        <v>12Go Link</v>
      </c>
      <c r="E2021" s="2" t="s">
        <v>13</v>
      </c>
    </row>
    <row r="2022">
      <c r="A2022" s="2" t="s">
        <v>16</v>
      </c>
      <c r="B2022" s="2" t="s">
        <v>6</v>
      </c>
      <c r="C2022" s="2" t="s">
        <v>2190</v>
      </c>
      <c r="D2022" s="3" t="str">
        <f t="shared" si="205"/>
        <v>12Go Link</v>
      </c>
      <c r="E2022" s="2" t="s">
        <v>14</v>
      </c>
    </row>
    <row r="2023">
      <c r="A2023" s="2" t="s">
        <v>16</v>
      </c>
      <c r="B2023" s="2" t="s">
        <v>6</v>
      </c>
      <c r="C2023" s="2" t="s">
        <v>2191</v>
      </c>
      <c r="D2023" s="3" t="str">
        <f t="shared" ref="D2023:D2025" si="206">HYPERLINK("https://12go.asia/en/travel/Kutaisi-Hotel-Transfer/Tbilisi-Hotel-Transfer", "12Go Link")</f>
        <v>12Go Link</v>
      </c>
      <c r="E2023" s="2" t="s">
        <v>12</v>
      </c>
    </row>
    <row r="2024">
      <c r="A2024" s="2" t="s">
        <v>16</v>
      </c>
      <c r="B2024" s="2" t="s">
        <v>6</v>
      </c>
      <c r="C2024" s="2" t="s">
        <v>2191</v>
      </c>
      <c r="D2024" s="3" t="str">
        <f t="shared" si="206"/>
        <v>12Go Link</v>
      </c>
      <c r="E2024" s="2" t="s">
        <v>13</v>
      </c>
    </row>
    <row r="2025">
      <c r="A2025" s="2" t="s">
        <v>16</v>
      </c>
      <c r="B2025" s="2" t="s">
        <v>6</v>
      </c>
      <c r="C2025" s="2" t="s">
        <v>2191</v>
      </c>
      <c r="D2025" s="3" t="str">
        <f t="shared" si="206"/>
        <v>12Go Link</v>
      </c>
      <c r="E2025" s="2" t="s">
        <v>14</v>
      </c>
    </row>
    <row r="2026">
      <c r="A2026" s="2" t="s">
        <v>16</v>
      </c>
      <c r="B2026" s="2" t="s">
        <v>2110</v>
      </c>
      <c r="C2026" s="2" t="s">
        <v>2192</v>
      </c>
      <c r="D2026" s="3" t="str">
        <f t="shared" ref="D2026:D2028" si="207">HYPERLINK("https://12go.asia/en/travel/Kutaisi-Airport/Telavi-Hotel-Transfer", "12Go Link")</f>
        <v>12Go Link</v>
      </c>
      <c r="E2026" s="2" t="s">
        <v>12</v>
      </c>
    </row>
    <row r="2027">
      <c r="A2027" s="2" t="s">
        <v>16</v>
      </c>
      <c r="B2027" s="2" t="s">
        <v>2110</v>
      </c>
      <c r="C2027" s="2" t="s">
        <v>2192</v>
      </c>
      <c r="D2027" s="3" t="str">
        <f t="shared" si="207"/>
        <v>12Go Link</v>
      </c>
      <c r="E2027" s="2" t="s">
        <v>13</v>
      </c>
    </row>
    <row r="2028">
      <c r="A2028" s="2" t="s">
        <v>16</v>
      </c>
      <c r="B2028" s="2" t="s">
        <v>2110</v>
      </c>
      <c r="C2028" s="2" t="s">
        <v>2192</v>
      </c>
      <c r="D2028" s="3" t="str">
        <f t="shared" si="207"/>
        <v>12Go Link</v>
      </c>
      <c r="E2028" s="2" t="s">
        <v>14</v>
      </c>
    </row>
    <row r="2029">
      <c r="A2029" s="2" t="s">
        <v>16</v>
      </c>
      <c r="B2029" s="2" t="s">
        <v>2110</v>
      </c>
      <c r="C2029" s="2" t="s">
        <v>2193</v>
      </c>
      <c r="D2029" s="3" t="str">
        <f t="shared" ref="D2029:D2031" si="208">HYPERLINK("https://12go.asia/en/travel/Kutaisi-Hotel-Transfer/Telavi-Hotel-Transfer", "12Go Link")</f>
        <v>12Go Link</v>
      </c>
      <c r="E2029" s="2" t="s">
        <v>12</v>
      </c>
    </row>
    <row r="2030">
      <c r="A2030" s="2" t="s">
        <v>16</v>
      </c>
      <c r="B2030" s="2" t="s">
        <v>2110</v>
      </c>
      <c r="C2030" s="2" t="s">
        <v>2193</v>
      </c>
      <c r="D2030" s="3" t="str">
        <f t="shared" si="208"/>
        <v>12Go Link</v>
      </c>
      <c r="E2030" s="2" t="s">
        <v>13</v>
      </c>
    </row>
    <row r="2031">
      <c r="A2031" s="2" t="s">
        <v>16</v>
      </c>
      <c r="B2031" s="2" t="s">
        <v>2110</v>
      </c>
      <c r="C2031" s="2" t="s">
        <v>2193</v>
      </c>
      <c r="D2031" s="3" t="str">
        <f t="shared" si="208"/>
        <v>12Go Link</v>
      </c>
      <c r="E2031" s="2" t="s">
        <v>14</v>
      </c>
    </row>
    <row r="2032">
      <c r="A2032" s="2" t="s">
        <v>16</v>
      </c>
      <c r="B2032" s="2" t="s">
        <v>2113</v>
      </c>
      <c r="C2032" s="2" t="s">
        <v>2194</v>
      </c>
      <c r="D2032" s="3" t="str">
        <f t="shared" ref="D2032:D2034" si="209">HYPERLINK("https://12go.asia/en/travel/Kutaisi-Airport/Zugdidi-Hotel-Transfer", "12Go Link")</f>
        <v>12Go Link</v>
      </c>
      <c r="E2032" s="2" t="s">
        <v>12</v>
      </c>
    </row>
    <row r="2033">
      <c r="A2033" s="2" t="s">
        <v>16</v>
      </c>
      <c r="B2033" s="2" t="s">
        <v>2113</v>
      </c>
      <c r="C2033" s="2" t="s">
        <v>2194</v>
      </c>
      <c r="D2033" s="3" t="str">
        <f t="shared" si="209"/>
        <v>12Go Link</v>
      </c>
      <c r="E2033" s="2" t="s">
        <v>13</v>
      </c>
    </row>
    <row r="2034">
      <c r="A2034" s="2" t="s">
        <v>16</v>
      </c>
      <c r="B2034" s="2" t="s">
        <v>2113</v>
      </c>
      <c r="C2034" s="2" t="s">
        <v>2194</v>
      </c>
      <c r="D2034" s="3" t="str">
        <f t="shared" si="209"/>
        <v>12Go Link</v>
      </c>
      <c r="E2034" s="2" t="s">
        <v>14</v>
      </c>
    </row>
    <row r="2035">
      <c r="A2035" s="2" t="s">
        <v>16</v>
      </c>
      <c r="B2035" s="2" t="s">
        <v>2113</v>
      </c>
      <c r="C2035" s="2" t="s">
        <v>2195</v>
      </c>
      <c r="D2035" s="3" t="str">
        <f t="shared" ref="D2035:D2037" si="210">HYPERLINK("https://12go.asia/en/travel/Kutaisi-Hotel-Transfer/Zugdidi-Hotel-Transfer", "12Go Link")</f>
        <v>12Go Link</v>
      </c>
      <c r="E2035" s="2" t="s">
        <v>12</v>
      </c>
    </row>
    <row r="2036">
      <c r="A2036" s="2" t="s">
        <v>16</v>
      </c>
      <c r="B2036" s="2" t="s">
        <v>2113</v>
      </c>
      <c r="C2036" s="2" t="s">
        <v>2195</v>
      </c>
      <c r="D2036" s="3" t="str">
        <f t="shared" si="210"/>
        <v>12Go Link</v>
      </c>
      <c r="E2036" s="2" t="s">
        <v>13</v>
      </c>
    </row>
    <row r="2037">
      <c r="A2037" s="2" t="s">
        <v>16</v>
      </c>
      <c r="B2037" s="2" t="s">
        <v>2113</v>
      </c>
      <c r="C2037" s="2" t="s">
        <v>2195</v>
      </c>
      <c r="D2037" s="3" t="str">
        <f t="shared" si="210"/>
        <v>12Go Link</v>
      </c>
      <c r="E2037" s="2" t="s">
        <v>14</v>
      </c>
    </row>
    <row r="2038">
      <c r="A2038" s="2" t="s">
        <v>2095</v>
      </c>
      <c r="B2038" s="2" t="s">
        <v>10</v>
      </c>
      <c r="C2038" s="2" t="s">
        <v>2196</v>
      </c>
      <c r="D2038" s="3" t="str">
        <f t="shared" ref="D2038:D2040" si="211">HYPERLINK("https://12go.asia/en/travel/Mestia-Hotel-Transfer/Batumi-Airport", "12Go Link")</f>
        <v>12Go Link</v>
      </c>
      <c r="E2038" s="2" t="s">
        <v>12</v>
      </c>
    </row>
    <row r="2039">
      <c r="A2039" s="2" t="s">
        <v>2095</v>
      </c>
      <c r="B2039" s="2" t="s">
        <v>10</v>
      </c>
      <c r="C2039" s="2" t="s">
        <v>2196</v>
      </c>
      <c r="D2039" s="3" t="str">
        <f t="shared" si="211"/>
        <v>12Go Link</v>
      </c>
      <c r="E2039" s="2" t="s">
        <v>13</v>
      </c>
    </row>
    <row r="2040">
      <c r="A2040" s="2" t="s">
        <v>2095</v>
      </c>
      <c r="B2040" s="2" t="s">
        <v>10</v>
      </c>
      <c r="C2040" s="2" t="s">
        <v>2196</v>
      </c>
      <c r="D2040" s="3" t="str">
        <f t="shared" si="211"/>
        <v>12Go Link</v>
      </c>
      <c r="E2040" s="2" t="s">
        <v>14</v>
      </c>
    </row>
    <row r="2041">
      <c r="A2041" s="2" t="s">
        <v>2095</v>
      </c>
      <c r="B2041" s="2" t="s">
        <v>10</v>
      </c>
      <c r="C2041" s="2" t="s">
        <v>2197</v>
      </c>
      <c r="D2041" s="3" t="str">
        <f t="shared" ref="D2041:D2043" si="212">HYPERLINK("https://12go.asia/en/travel/Mestia-Hotel-Transfer/Batumi-Hotel-Transfer", "12Go Link")</f>
        <v>12Go Link</v>
      </c>
      <c r="E2041" s="2" t="s">
        <v>12</v>
      </c>
    </row>
    <row r="2042">
      <c r="A2042" s="2" t="s">
        <v>2095</v>
      </c>
      <c r="B2042" s="2" t="s">
        <v>10</v>
      </c>
      <c r="C2042" s="2" t="s">
        <v>2197</v>
      </c>
      <c r="D2042" s="3" t="str">
        <f t="shared" si="212"/>
        <v>12Go Link</v>
      </c>
      <c r="E2042" s="2" t="s">
        <v>13</v>
      </c>
    </row>
    <row r="2043">
      <c r="A2043" s="2" t="s">
        <v>2095</v>
      </c>
      <c r="B2043" s="2" t="s">
        <v>10</v>
      </c>
      <c r="C2043" s="2" t="s">
        <v>2197</v>
      </c>
      <c r="D2043" s="3" t="str">
        <f t="shared" si="212"/>
        <v>12Go Link</v>
      </c>
      <c r="E2043" s="2" t="s">
        <v>14</v>
      </c>
    </row>
    <row r="2044">
      <c r="A2044" s="2" t="s">
        <v>2095</v>
      </c>
      <c r="B2044" s="2" t="s">
        <v>16</v>
      </c>
      <c r="C2044" s="2" t="s">
        <v>2198</v>
      </c>
      <c r="D2044" s="3" t="str">
        <f t="shared" ref="D2044:D2046" si="213">HYPERLINK("https://12go.asia/en/travel/Mestia-Hotel-Transfer/Kutaisi-Airport", "12Go Link")</f>
        <v>12Go Link</v>
      </c>
      <c r="E2044" s="2" t="s">
        <v>12</v>
      </c>
    </row>
    <row r="2045">
      <c r="A2045" s="2" t="s">
        <v>2095</v>
      </c>
      <c r="B2045" s="2" t="s">
        <v>16</v>
      </c>
      <c r="C2045" s="2" t="s">
        <v>2198</v>
      </c>
      <c r="D2045" s="3" t="str">
        <f t="shared" si="213"/>
        <v>12Go Link</v>
      </c>
      <c r="E2045" s="2" t="s">
        <v>13</v>
      </c>
    </row>
    <row r="2046">
      <c r="A2046" s="2" t="s">
        <v>2095</v>
      </c>
      <c r="B2046" s="2" t="s">
        <v>16</v>
      </c>
      <c r="C2046" s="2" t="s">
        <v>2198</v>
      </c>
      <c r="D2046" s="3" t="str">
        <f t="shared" si="213"/>
        <v>12Go Link</v>
      </c>
      <c r="E2046" s="2" t="s">
        <v>14</v>
      </c>
    </row>
    <row r="2047">
      <c r="A2047" s="2" t="s">
        <v>2095</v>
      </c>
      <c r="B2047" s="2" t="s">
        <v>16</v>
      </c>
      <c r="C2047" s="2" t="s">
        <v>2199</v>
      </c>
      <c r="D2047" s="3" t="str">
        <f t="shared" ref="D2047:D2049" si="214">HYPERLINK("https://12go.asia/en/travel/Mestia-Hotel-Transfer/Kutaisi-Hotel-Transfer", "12Go Link")</f>
        <v>12Go Link</v>
      </c>
      <c r="E2047" s="2" t="s">
        <v>12</v>
      </c>
    </row>
    <row r="2048">
      <c r="A2048" s="2" t="s">
        <v>2095</v>
      </c>
      <c r="B2048" s="2" t="s">
        <v>16</v>
      </c>
      <c r="C2048" s="2" t="s">
        <v>2199</v>
      </c>
      <c r="D2048" s="3" t="str">
        <f t="shared" si="214"/>
        <v>12Go Link</v>
      </c>
      <c r="E2048" s="2" t="s">
        <v>13</v>
      </c>
    </row>
    <row r="2049">
      <c r="A2049" s="2" t="s">
        <v>2095</v>
      </c>
      <c r="B2049" s="2" t="s">
        <v>16</v>
      </c>
      <c r="C2049" s="2" t="s">
        <v>2199</v>
      </c>
      <c r="D2049" s="3" t="str">
        <f t="shared" si="214"/>
        <v>12Go Link</v>
      </c>
      <c r="E2049" s="2" t="s">
        <v>14</v>
      </c>
    </row>
    <row r="2050">
      <c r="A2050" s="2" t="s">
        <v>2095</v>
      </c>
      <c r="B2050" s="2" t="s">
        <v>6</v>
      </c>
      <c r="C2050" s="2" t="s">
        <v>2200</v>
      </c>
      <c r="D2050" s="3" t="str">
        <f t="shared" ref="D2050:D2052" si="215">HYPERLINK("https://12go.asia/en/travel/Mestia-Hotel-Transfer/Tbilisi-Airport", "12Go Link")</f>
        <v>12Go Link</v>
      </c>
      <c r="E2050" s="2" t="s">
        <v>12</v>
      </c>
    </row>
    <row r="2051">
      <c r="A2051" s="2" t="s">
        <v>2095</v>
      </c>
      <c r="B2051" s="2" t="s">
        <v>6</v>
      </c>
      <c r="C2051" s="2" t="s">
        <v>2200</v>
      </c>
      <c r="D2051" s="3" t="str">
        <f t="shared" si="215"/>
        <v>12Go Link</v>
      </c>
      <c r="E2051" s="2" t="s">
        <v>13</v>
      </c>
    </row>
    <row r="2052">
      <c r="A2052" s="2" t="s">
        <v>2095</v>
      </c>
      <c r="B2052" s="2" t="s">
        <v>6</v>
      </c>
      <c r="C2052" s="2" t="s">
        <v>2200</v>
      </c>
      <c r="D2052" s="3" t="str">
        <f t="shared" si="215"/>
        <v>12Go Link</v>
      </c>
      <c r="E2052" s="2" t="s">
        <v>14</v>
      </c>
    </row>
    <row r="2053">
      <c r="A2053" s="2" t="s">
        <v>2095</v>
      </c>
      <c r="B2053" s="2" t="s">
        <v>6</v>
      </c>
      <c r="C2053" s="2" t="s">
        <v>2201</v>
      </c>
      <c r="D2053" s="3" t="str">
        <f t="shared" ref="D2053:D2055" si="216">HYPERLINK("https://12go.asia/en/travel/Mestia-Hotel-Transfer/Tbilisi-Hotel-Transfer", "12Go Link")</f>
        <v>12Go Link</v>
      </c>
      <c r="E2053" s="2" t="s">
        <v>12</v>
      </c>
    </row>
    <row r="2054">
      <c r="A2054" s="2" t="s">
        <v>2095</v>
      </c>
      <c r="B2054" s="2" t="s">
        <v>6</v>
      </c>
      <c r="C2054" s="2" t="s">
        <v>2201</v>
      </c>
      <c r="D2054" s="3" t="str">
        <f t="shared" si="216"/>
        <v>12Go Link</v>
      </c>
      <c r="E2054" s="2" t="s">
        <v>13</v>
      </c>
    </row>
    <row r="2055">
      <c r="A2055" s="2" t="s">
        <v>2095</v>
      </c>
      <c r="B2055" s="2" t="s">
        <v>6</v>
      </c>
      <c r="C2055" s="2" t="s">
        <v>2201</v>
      </c>
      <c r="D2055" s="3" t="str">
        <f t="shared" si="216"/>
        <v>12Go Link</v>
      </c>
      <c r="E2055" s="2" t="s">
        <v>14</v>
      </c>
    </row>
    <row r="2056">
      <c r="A2056" s="2" t="s">
        <v>2098</v>
      </c>
      <c r="B2056" s="2" t="s">
        <v>10</v>
      </c>
      <c r="C2056" s="2" t="s">
        <v>2202</v>
      </c>
      <c r="D2056" s="3" t="str">
        <f t="shared" ref="D2056:D2058" si="217">HYPERLINK("https://12go.asia/en/travel/Stepantsminda-Hotel-Transfer/Batumi-Airport", "12Go Link")</f>
        <v>12Go Link</v>
      </c>
      <c r="E2056" s="2" t="s">
        <v>12</v>
      </c>
    </row>
    <row r="2057">
      <c r="A2057" s="2" t="s">
        <v>2098</v>
      </c>
      <c r="B2057" s="2" t="s">
        <v>10</v>
      </c>
      <c r="C2057" s="2" t="s">
        <v>2202</v>
      </c>
      <c r="D2057" s="3" t="str">
        <f t="shared" si="217"/>
        <v>12Go Link</v>
      </c>
      <c r="E2057" s="2" t="s">
        <v>13</v>
      </c>
    </row>
    <row r="2058">
      <c r="A2058" s="2" t="s">
        <v>2098</v>
      </c>
      <c r="B2058" s="2" t="s">
        <v>10</v>
      </c>
      <c r="C2058" s="2" t="s">
        <v>2202</v>
      </c>
      <c r="D2058" s="3" t="str">
        <f t="shared" si="217"/>
        <v>12Go Link</v>
      </c>
      <c r="E2058" s="2" t="s">
        <v>14</v>
      </c>
    </row>
    <row r="2059">
      <c r="A2059" s="2" t="s">
        <v>2098</v>
      </c>
      <c r="B2059" s="2" t="s">
        <v>10</v>
      </c>
      <c r="C2059" s="2" t="s">
        <v>2203</v>
      </c>
      <c r="D2059" s="3" t="str">
        <f t="shared" ref="D2059:D2061" si="218">HYPERLINK("https://12go.asia/en/travel/Stepantsminda-Hotel-Transfer/Batumi-Hotel-Transfer", "12Go Link")</f>
        <v>12Go Link</v>
      </c>
      <c r="E2059" s="2" t="s">
        <v>12</v>
      </c>
    </row>
    <row r="2060">
      <c r="A2060" s="2" t="s">
        <v>2098</v>
      </c>
      <c r="B2060" s="2" t="s">
        <v>10</v>
      </c>
      <c r="C2060" s="2" t="s">
        <v>2203</v>
      </c>
      <c r="D2060" s="3" t="str">
        <f t="shared" si="218"/>
        <v>12Go Link</v>
      </c>
      <c r="E2060" s="2" t="s">
        <v>13</v>
      </c>
    </row>
    <row r="2061">
      <c r="A2061" s="2" t="s">
        <v>2098</v>
      </c>
      <c r="B2061" s="2" t="s">
        <v>10</v>
      </c>
      <c r="C2061" s="2" t="s">
        <v>2203</v>
      </c>
      <c r="D2061" s="3" t="str">
        <f t="shared" si="218"/>
        <v>12Go Link</v>
      </c>
      <c r="E2061" s="2" t="s">
        <v>14</v>
      </c>
    </row>
    <row r="2062">
      <c r="A2062" s="2" t="s">
        <v>2098</v>
      </c>
      <c r="B2062" s="2" t="s">
        <v>16</v>
      </c>
      <c r="C2062" s="2" t="s">
        <v>2204</v>
      </c>
      <c r="D2062" s="3" t="str">
        <f t="shared" ref="D2062:D2064" si="219">HYPERLINK("https://12go.asia/en/travel/Stepantsminda-Hotel-Transfer/Kutaisi-Airport", "12Go Link")</f>
        <v>12Go Link</v>
      </c>
      <c r="E2062" s="2" t="s">
        <v>12</v>
      </c>
    </row>
    <row r="2063">
      <c r="A2063" s="2" t="s">
        <v>2098</v>
      </c>
      <c r="B2063" s="2" t="s">
        <v>16</v>
      </c>
      <c r="C2063" s="2" t="s">
        <v>2204</v>
      </c>
      <c r="D2063" s="3" t="str">
        <f t="shared" si="219"/>
        <v>12Go Link</v>
      </c>
      <c r="E2063" s="2" t="s">
        <v>13</v>
      </c>
    </row>
    <row r="2064">
      <c r="A2064" s="2" t="s">
        <v>2098</v>
      </c>
      <c r="B2064" s="2" t="s">
        <v>16</v>
      </c>
      <c r="C2064" s="2" t="s">
        <v>2204</v>
      </c>
      <c r="D2064" s="3" t="str">
        <f t="shared" si="219"/>
        <v>12Go Link</v>
      </c>
      <c r="E2064" s="2" t="s">
        <v>14</v>
      </c>
    </row>
    <row r="2065">
      <c r="A2065" s="2" t="s">
        <v>2098</v>
      </c>
      <c r="B2065" s="2" t="s">
        <v>16</v>
      </c>
      <c r="C2065" s="2" t="s">
        <v>2205</v>
      </c>
      <c r="D2065" s="3" t="str">
        <f t="shared" ref="D2065:D2067" si="220">HYPERLINK("https://12go.asia/en/travel/Stepantsminda-Hotel-Transfer/Kutaisi-Hotel-Transfer", "12Go Link")</f>
        <v>12Go Link</v>
      </c>
      <c r="E2065" s="2" t="s">
        <v>12</v>
      </c>
    </row>
    <row r="2066">
      <c r="A2066" s="2" t="s">
        <v>2098</v>
      </c>
      <c r="B2066" s="2" t="s">
        <v>16</v>
      </c>
      <c r="C2066" s="2" t="s">
        <v>2205</v>
      </c>
      <c r="D2066" s="3" t="str">
        <f t="shared" si="220"/>
        <v>12Go Link</v>
      </c>
      <c r="E2066" s="2" t="s">
        <v>13</v>
      </c>
    </row>
    <row r="2067">
      <c r="A2067" s="2" t="s">
        <v>2098</v>
      </c>
      <c r="B2067" s="2" t="s">
        <v>16</v>
      </c>
      <c r="C2067" s="2" t="s">
        <v>2205</v>
      </c>
      <c r="D2067" s="3" t="str">
        <f t="shared" si="220"/>
        <v>12Go Link</v>
      </c>
      <c r="E2067" s="2" t="s">
        <v>14</v>
      </c>
    </row>
    <row r="2068">
      <c r="A2068" s="2" t="s">
        <v>2098</v>
      </c>
      <c r="B2068" s="2" t="s">
        <v>6</v>
      </c>
      <c r="C2068" s="2" t="s">
        <v>2206</v>
      </c>
      <c r="D2068" s="3" t="str">
        <f t="shared" ref="D2068:D2070" si="221">HYPERLINK("https://12go.asia/en/travel/Stepantsminda-Hotel-Transfer/Tbilisi-Airport", "12Go Link")</f>
        <v>12Go Link</v>
      </c>
      <c r="E2068" s="2" t="s">
        <v>12</v>
      </c>
    </row>
    <row r="2069">
      <c r="A2069" s="2" t="s">
        <v>2098</v>
      </c>
      <c r="B2069" s="2" t="s">
        <v>6</v>
      </c>
      <c r="C2069" s="2" t="s">
        <v>2206</v>
      </c>
      <c r="D2069" s="3" t="str">
        <f t="shared" si="221"/>
        <v>12Go Link</v>
      </c>
      <c r="E2069" s="2" t="s">
        <v>13</v>
      </c>
    </row>
    <row r="2070">
      <c r="A2070" s="2" t="s">
        <v>2098</v>
      </c>
      <c r="B2070" s="2" t="s">
        <v>6</v>
      </c>
      <c r="C2070" s="2" t="s">
        <v>2206</v>
      </c>
      <c r="D2070" s="3" t="str">
        <f t="shared" si="221"/>
        <v>12Go Link</v>
      </c>
      <c r="E2070" s="2" t="s">
        <v>14</v>
      </c>
    </row>
    <row r="2071">
      <c r="A2071" s="2" t="s">
        <v>2098</v>
      </c>
      <c r="B2071" s="2" t="s">
        <v>6</v>
      </c>
      <c r="C2071" s="2" t="s">
        <v>2207</v>
      </c>
      <c r="D2071" s="3" t="str">
        <f t="shared" ref="D2071:D2073" si="222">HYPERLINK("https://12go.asia/en/travel/Stepantsminda-Hotel-Transfer/Tbilisi-Hotel-Transfer", "12Go Link")</f>
        <v>12Go Link</v>
      </c>
      <c r="E2071" s="2" t="s">
        <v>12</v>
      </c>
    </row>
    <row r="2072">
      <c r="A2072" s="2" t="s">
        <v>2098</v>
      </c>
      <c r="B2072" s="2" t="s">
        <v>6</v>
      </c>
      <c r="C2072" s="2" t="s">
        <v>2207</v>
      </c>
      <c r="D2072" s="3" t="str">
        <f t="shared" si="222"/>
        <v>12Go Link</v>
      </c>
      <c r="E2072" s="2" t="s">
        <v>13</v>
      </c>
    </row>
    <row r="2073">
      <c r="A2073" s="2" t="s">
        <v>2098</v>
      </c>
      <c r="B2073" s="2" t="s">
        <v>6</v>
      </c>
      <c r="C2073" s="2" t="s">
        <v>2207</v>
      </c>
      <c r="D2073" s="3" t="str">
        <f t="shared" si="222"/>
        <v>12Go Link</v>
      </c>
      <c r="E2073" s="2" t="s">
        <v>14</v>
      </c>
    </row>
    <row r="2074">
      <c r="A2074" s="2" t="s">
        <v>2101</v>
      </c>
      <c r="B2074" s="2" t="s">
        <v>10</v>
      </c>
      <c r="C2074" s="2" t="s">
        <v>2208</v>
      </c>
      <c r="D2074" s="3" t="str">
        <f t="shared" ref="D2074:D2076" si="223">HYPERLINK("https://12go.asia/en/travel/Shekvetili-Hotel-Transfer/Batumi-Airport", "12Go Link")</f>
        <v>12Go Link</v>
      </c>
      <c r="E2074" s="2" t="s">
        <v>12</v>
      </c>
    </row>
    <row r="2075">
      <c r="A2075" s="2" t="s">
        <v>2101</v>
      </c>
      <c r="B2075" s="2" t="s">
        <v>10</v>
      </c>
      <c r="C2075" s="2" t="s">
        <v>2208</v>
      </c>
      <c r="D2075" s="3" t="str">
        <f t="shared" si="223"/>
        <v>12Go Link</v>
      </c>
      <c r="E2075" s="2" t="s">
        <v>13</v>
      </c>
    </row>
    <row r="2076">
      <c r="A2076" s="2" t="s">
        <v>2101</v>
      </c>
      <c r="B2076" s="2" t="s">
        <v>10</v>
      </c>
      <c r="C2076" s="2" t="s">
        <v>2208</v>
      </c>
      <c r="D2076" s="3" t="str">
        <f t="shared" si="223"/>
        <v>12Go Link</v>
      </c>
      <c r="E2076" s="2" t="s">
        <v>14</v>
      </c>
    </row>
    <row r="2077">
      <c r="A2077" s="2" t="s">
        <v>2101</v>
      </c>
      <c r="B2077" s="2" t="s">
        <v>10</v>
      </c>
      <c r="C2077" s="2" t="s">
        <v>2209</v>
      </c>
      <c r="D2077" s="3" t="str">
        <f t="shared" ref="D2077:D2079" si="224">HYPERLINK("https://12go.asia/en/travel/Shekvetili-Hotel-Transfer/Batumi-Hotel-Transfer", "12Go Link")</f>
        <v>12Go Link</v>
      </c>
      <c r="E2077" s="2" t="s">
        <v>12</v>
      </c>
    </row>
    <row r="2078">
      <c r="A2078" s="2" t="s">
        <v>2101</v>
      </c>
      <c r="B2078" s="2" t="s">
        <v>10</v>
      </c>
      <c r="C2078" s="2" t="s">
        <v>2209</v>
      </c>
      <c r="D2078" s="3" t="str">
        <f t="shared" si="224"/>
        <v>12Go Link</v>
      </c>
      <c r="E2078" s="2" t="s">
        <v>13</v>
      </c>
    </row>
    <row r="2079">
      <c r="A2079" s="2" t="s">
        <v>2101</v>
      </c>
      <c r="B2079" s="2" t="s">
        <v>10</v>
      </c>
      <c r="C2079" s="2" t="s">
        <v>2209</v>
      </c>
      <c r="D2079" s="3" t="str">
        <f t="shared" si="224"/>
        <v>12Go Link</v>
      </c>
      <c r="E2079" s="2" t="s">
        <v>14</v>
      </c>
    </row>
    <row r="2080">
      <c r="A2080" s="2" t="s">
        <v>2101</v>
      </c>
      <c r="B2080" s="2" t="s">
        <v>6</v>
      </c>
      <c r="C2080" s="2" t="s">
        <v>2210</v>
      </c>
      <c r="D2080" s="3" t="str">
        <f t="shared" ref="D2080:D2082" si="225">HYPERLINK("https://12go.asia/en/travel/Shekvetili-Hotel-Transfer/Tbilisi-Airport", "12Go Link")</f>
        <v>12Go Link</v>
      </c>
      <c r="E2080" s="2" t="s">
        <v>12</v>
      </c>
    </row>
    <row r="2081">
      <c r="A2081" s="2" t="s">
        <v>2101</v>
      </c>
      <c r="B2081" s="2" t="s">
        <v>6</v>
      </c>
      <c r="C2081" s="2" t="s">
        <v>2210</v>
      </c>
      <c r="D2081" s="3" t="str">
        <f t="shared" si="225"/>
        <v>12Go Link</v>
      </c>
      <c r="E2081" s="2" t="s">
        <v>13</v>
      </c>
    </row>
    <row r="2082">
      <c r="A2082" s="2" t="s">
        <v>2101</v>
      </c>
      <c r="B2082" s="2" t="s">
        <v>6</v>
      </c>
      <c r="C2082" s="2" t="s">
        <v>2210</v>
      </c>
      <c r="D2082" s="3" t="str">
        <f t="shared" si="225"/>
        <v>12Go Link</v>
      </c>
      <c r="E2082" s="2" t="s">
        <v>14</v>
      </c>
    </row>
    <row r="2083">
      <c r="A2083" s="2" t="s">
        <v>2101</v>
      </c>
      <c r="B2083" s="2" t="s">
        <v>6</v>
      </c>
      <c r="C2083" s="2" t="s">
        <v>2211</v>
      </c>
      <c r="D2083" s="3" t="str">
        <f t="shared" ref="D2083:D2085" si="226">HYPERLINK("https://12go.asia/en/travel/Shekvetili-Hotel-Transfer/Tbilisi-Hotel-Transfer", "12Go Link")</f>
        <v>12Go Link</v>
      </c>
      <c r="E2083" s="2" t="s">
        <v>12</v>
      </c>
    </row>
    <row r="2084">
      <c r="A2084" s="2" t="s">
        <v>2101</v>
      </c>
      <c r="B2084" s="2" t="s">
        <v>6</v>
      </c>
      <c r="C2084" s="2" t="s">
        <v>2211</v>
      </c>
      <c r="D2084" s="3" t="str">
        <f t="shared" si="226"/>
        <v>12Go Link</v>
      </c>
      <c r="E2084" s="2" t="s">
        <v>13</v>
      </c>
    </row>
    <row r="2085">
      <c r="A2085" s="2" t="s">
        <v>2101</v>
      </c>
      <c r="B2085" s="2" t="s">
        <v>6</v>
      </c>
      <c r="C2085" s="2" t="s">
        <v>2211</v>
      </c>
      <c r="D2085" s="3" t="str">
        <f t="shared" si="226"/>
        <v>12Go Link</v>
      </c>
      <c r="E2085" s="2" t="s">
        <v>14</v>
      </c>
    </row>
    <row r="2086">
      <c r="A2086" s="2" t="s">
        <v>2104</v>
      </c>
      <c r="B2086" s="2" t="s">
        <v>10</v>
      </c>
      <c r="C2086" s="2" t="s">
        <v>2212</v>
      </c>
      <c r="D2086" s="3" t="str">
        <f t="shared" ref="D2086:D2088" si="227">HYPERLINK("https://12go.asia/en/travel/Sighnaghi-Hotel-Transfer/Batumi-Airport", "12Go Link")</f>
        <v>12Go Link</v>
      </c>
      <c r="E2086" s="2" t="s">
        <v>12</v>
      </c>
    </row>
    <row r="2087">
      <c r="A2087" s="2" t="s">
        <v>2104</v>
      </c>
      <c r="B2087" s="2" t="s">
        <v>10</v>
      </c>
      <c r="C2087" s="2" t="s">
        <v>2212</v>
      </c>
      <c r="D2087" s="3" t="str">
        <f t="shared" si="227"/>
        <v>12Go Link</v>
      </c>
      <c r="E2087" s="2" t="s">
        <v>13</v>
      </c>
    </row>
    <row r="2088">
      <c r="A2088" s="2" t="s">
        <v>2104</v>
      </c>
      <c r="B2088" s="2" t="s">
        <v>10</v>
      </c>
      <c r="C2088" s="2" t="s">
        <v>2212</v>
      </c>
      <c r="D2088" s="3" t="str">
        <f t="shared" si="227"/>
        <v>12Go Link</v>
      </c>
      <c r="E2088" s="2" t="s">
        <v>14</v>
      </c>
    </row>
    <row r="2089">
      <c r="A2089" s="2" t="s">
        <v>2104</v>
      </c>
      <c r="B2089" s="2" t="s">
        <v>10</v>
      </c>
      <c r="C2089" s="2" t="s">
        <v>2213</v>
      </c>
      <c r="D2089" s="3" t="str">
        <f t="shared" ref="D2089:D2091" si="228">HYPERLINK("https://12go.asia/en/travel/Sighnaghi-Hotel-Transfer/Batumi-Hotel-Transfer", "12Go Link")</f>
        <v>12Go Link</v>
      </c>
      <c r="E2089" s="2" t="s">
        <v>12</v>
      </c>
    </row>
    <row r="2090">
      <c r="A2090" s="2" t="s">
        <v>2104</v>
      </c>
      <c r="B2090" s="2" t="s">
        <v>10</v>
      </c>
      <c r="C2090" s="2" t="s">
        <v>2213</v>
      </c>
      <c r="D2090" s="3" t="str">
        <f t="shared" si="228"/>
        <v>12Go Link</v>
      </c>
      <c r="E2090" s="2" t="s">
        <v>13</v>
      </c>
    </row>
    <row r="2091">
      <c r="A2091" s="2" t="s">
        <v>2104</v>
      </c>
      <c r="B2091" s="2" t="s">
        <v>10</v>
      </c>
      <c r="C2091" s="2" t="s">
        <v>2213</v>
      </c>
      <c r="D2091" s="3" t="str">
        <f t="shared" si="228"/>
        <v>12Go Link</v>
      </c>
      <c r="E2091" s="2" t="s">
        <v>14</v>
      </c>
    </row>
    <row r="2092">
      <c r="A2092" s="2" t="s">
        <v>2104</v>
      </c>
      <c r="B2092" s="2" t="s">
        <v>16</v>
      </c>
      <c r="C2092" s="2" t="s">
        <v>2214</v>
      </c>
      <c r="D2092" s="3" t="str">
        <f t="shared" ref="D2092:D2094" si="229">HYPERLINK("https://12go.asia/en/travel/Sighnaghi-Hotel-Transfer/Kutaisi-Airport", "12Go Link")</f>
        <v>12Go Link</v>
      </c>
      <c r="E2092" s="2" t="s">
        <v>12</v>
      </c>
    </row>
    <row r="2093">
      <c r="A2093" s="2" t="s">
        <v>2104</v>
      </c>
      <c r="B2093" s="2" t="s">
        <v>16</v>
      </c>
      <c r="C2093" s="2" t="s">
        <v>2214</v>
      </c>
      <c r="D2093" s="3" t="str">
        <f t="shared" si="229"/>
        <v>12Go Link</v>
      </c>
      <c r="E2093" s="2" t="s">
        <v>13</v>
      </c>
    </row>
    <row r="2094">
      <c r="A2094" s="2" t="s">
        <v>2104</v>
      </c>
      <c r="B2094" s="2" t="s">
        <v>16</v>
      </c>
      <c r="C2094" s="2" t="s">
        <v>2214</v>
      </c>
      <c r="D2094" s="3" t="str">
        <f t="shared" si="229"/>
        <v>12Go Link</v>
      </c>
      <c r="E2094" s="2" t="s">
        <v>14</v>
      </c>
    </row>
    <row r="2095">
      <c r="A2095" s="2" t="s">
        <v>2104</v>
      </c>
      <c r="B2095" s="2" t="s">
        <v>16</v>
      </c>
      <c r="C2095" s="2" t="s">
        <v>2215</v>
      </c>
      <c r="D2095" s="3" t="str">
        <f t="shared" ref="D2095:D2097" si="230">HYPERLINK("https://12go.asia/en/travel/Sighnaghi-Hotel-Transfer/Kutaisi-Hotel-Transfer", "12Go Link")</f>
        <v>12Go Link</v>
      </c>
      <c r="E2095" s="2" t="s">
        <v>12</v>
      </c>
    </row>
    <row r="2096">
      <c r="A2096" s="2" t="s">
        <v>2104</v>
      </c>
      <c r="B2096" s="2" t="s">
        <v>16</v>
      </c>
      <c r="C2096" s="2" t="s">
        <v>2215</v>
      </c>
      <c r="D2096" s="3" t="str">
        <f t="shared" si="230"/>
        <v>12Go Link</v>
      </c>
      <c r="E2096" s="2" t="s">
        <v>13</v>
      </c>
    </row>
    <row r="2097">
      <c r="A2097" s="2" t="s">
        <v>2104</v>
      </c>
      <c r="B2097" s="2" t="s">
        <v>16</v>
      </c>
      <c r="C2097" s="2" t="s">
        <v>2215</v>
      </c>
      <c r="D2097" s="3" t="str">
        <f t="shared" si="230"/>
        <v>12Go Link</v>
      </c>
      <c r="E2097" s="2" t="s">
        <v>14</v>
      </c>
    </row>
    <row r="2098">
      <c r="A2098" s="2" t="s">
        <v>2104</v>
      </c>
      <c r="B2098" s="2" t="s">
        <v>6</v>
      </c>
      <c r="C2098" s="2" t="s">
        <v>2216</v>
      </c>
      <c r="D2098" s="3" t="str">
        <f t="shared" ref="D2098:D2100" si="231">HYPERLINK("https://12go.asia/en/travel/Sighnaghi-Hotel-Transfer/Tbilisi-Airport", "12Go Link")</f>
        <v>12Go Link</v>
      </c>
      <c r="E2098" s="2" t="s">
        <v>12</v>
      </c>
    </row>
    <row r="2099">
      <c r="A2099" s="2" t="s">
        <v>2104</v>
      </c>
      <c r="B2099" s="2" t="s">
        <v>6</v>
      </c>
      <c r="C2099" s="2" t="s">
        <v>2216</v>
      </c>
      <c r="D2099" s="3" t="str">
        <f t="shared" si="231"/>
        <v>12Go Link</v>
      </c>
      <c r="E2099" s="2" t="s">
        <v>13</v>
      </c>
    </row>
    <row r="2100">
      <c r="A2100" s="2" t="s">
        <v>2104</v>
      </c>
      <c r="B2100" s="2" t="s">
        <v>6</v>
      </c>
      <c r="C2100" s="2" t="s">
        <v>2216</v>
      </c>
      <c r="D2100" s="3" t="str">
        <f t="shared" si="231"/>
        <v>12Go Link</v>
      </c>
      <c r="E2100" s="2" t="s">
        <v>14</v>
      </c>
    </row>
    <row r="2101">
      <c r="A2101" s="2" t="s">
        <v>2104</v>
      </c>
      <c r="B2101" s="2" t="s">
        <v>6</v>
      </c>
      <c r="C2101" s="2" t="s">
        <v>2217</v>
      </c>
      <c r="D2101" s="3" t="str">
        <f t="shared" ref="D2101:D2103" si="232">HYPERLINK("https://12go.asia/en/travel/Sighnaghi-Hotel-Transfer/Tbilisi-Hotel-Transfer", "12Go Link")</f>
        <v>12Go Link</v>
      </c>
      <c r="E2101" s="2" t="s">
        <v>12</v>
      </c>
    </row>
    <row r="2102">
      <c r="A2102" s="2" t="s">
        <v>2104</v>
      </c>
      <c r="B2102" s="2" t="s">
        <v>6</v>
      </c>
      <c r="C2102" s="2" t="s">
        <v>2217</v>
      </c>
      <c r="D2102" s="3" t="str">
        <f t="shared" si="232"/>
        <v>12Go Link</v>
      </c>
      <c r="E2102" s="2" t="s">
        <v>13</v>
      </c>
    </row>
    <row r="2103">
      <c r="A2103" s="2" t="s">
        <v>2104</v>
      </c>
      <c r="B2103" s="2" t="s">
        <v>6</v>
      </c>
      <c r="C2103" s="2" t="s">
        <v>2217</v>
      </c>
      <c r="D2103" s="3" t="str">
        <f t="shared" si="232"/>
        <v>12Go Link</v>
      </c>
      <c r="E2103" s="2" t="s">
        <v>14</v>
      </c>
    </row>
    <row r="2104">
      <c r="A2104" s="2" t="s">
        <v>6</v>
      </c>
      <c r="B2104" s="2" t="s">
        <v>9</v>
      </c>
      <c r="C2104" s="2" t="s">
        <v>2218</v>
      </c>
      <c r="D2104" s="3" t="str">
        <f t="shared" ref="D2104:D2106" si="233">HYPERLINK("https://12go.asia/en/travel/Tbilisi-Airport/Yerevan-Hotel-Transfer", "12Go Link")</f>
        <v>12Go Link</v>
      </c>
      <c r="E2104" s="2" t="s">
        <v>12</v>
      </c>
    </row>
    <row r="2105">
      <c r="A2105" s="2" t="s">
        <v>6</v>
      </c>
      <c r="B2105" s="2" t="s">
        <v>9</v>
      </c>
      <c r="C2105" s="2" t="s">
        <v>2218</v>
      </c>
      <c r="D2105" s="3" t="str">
        <f t="shared" si="233"/>
        <v>12Go Link</v>
      </c>
      <c r="E2105" s="2" t="s">
        <v>13</v>
      </c>
    </row>
    <row r="2106">
      <c r="A2106" s="2" t="s">
        <v>6</v>
      </c>
      <c r="B2106" s="2" t="s">
        <v>9</v>
      </c>
      <c r="C2106" s="2" t="s">
        <v>2218</v>
      </c>
      <c r="D2106" s="3" t="str">
        <f t="shared" si="233"/>
        <v>12Go Link</v>
      </c>
      <c r="E2106" s="2" t="s">
        <v>14</v>
      </c>
    </row>
    <row r="2107">
      <c r="A2107" s="2" t="s">
        <v>6</v>
      </c>
      <c r="B2107" s="2" t="s">
        <v>9</v>
      </c>
      <c r="C2107" s="2" t="s">
        <v>2219</v>
      </c>
      <c r="D2107" s="3" t="str">
        <f t="shared" ref="D2107:D2109" si="234">HYPERLINK("https://12go.asia/en/travel/Tbilisi-Hotel-Transfer/Yerevan-Hotel-Transfer", "12Go Link")</f>
        <v>12Go Link</v>
      </c>
      <c r="E2107" s="2" t="s">
        <v>12</v>
      </c>
    </row>
    <row r="2108">
      <c r="A2108" s="2" t="s">
        <v>6</v>
      </c>
      <c r="B2108" s="2" t="s">
        <v>9</v>
      </c>
      <c r="C2108" s="2" t="s">
        <v>2219</v>
      </c>
      <c r="D2108" s="3" t="str">
        <f t="shared" si="234"/>
        <v>12Go Link</v>
      </c>
      <c r="E2108" s="2" t="s">
        <v>13</v>
      </c>
    </row>
    <row r="2109">
      <c r="A2109" s="2" t="s">
        <v>6</v>
      </c>
      <c r="B2109" s="2" t="s">
        <v>9</v>
      </c>
      <c r="C2109" s="2" t="s">
        <v>2219</v>
      </c>
      <c r="D2109" s="3" t="str">
        <f t="shared" si="234"/>
        <v>12Go Link</v>
      </c>
      <c r="E2109" s="2" t="s">
        <v>14</v>
      </c>
    </row>
    <row r="2110">
      <c r="A2110" s="2" t="s">
        <v>6</v>
      </c>
      <c r="B2110" s="2" t="s">
        <v>9</v>
      </c>
      <c r="C2110" s="2" t="s">
        <v>2220</v>
      </c>
      <c r="D2110" s="3" t="str">
        <f>HYPERLINK("https://12go.asia/en/travel/Tbilisi-Isani-Mall/Yerevan-Abovyan-Street", "12Go Link")</f>
        <v>12Go Link</v>
      </c>
      <c r="E2110" s="2" t="s">
        <v>8</v>
      </c>
    </row>
    <row r="2111">
      <c r="A2111" s="2" t="s">
        <v>6</v>
      </c>
      <c r="B2111" s="2" t="s">
        <v>2051</v>
      </c>
      <c r="C2111" s="2" t="s">
        <v>2221</v>
      </c>
      <c r="D2111" s="3" t="str">
        <f t="shared" ref="D2111:D2113" si="235">HYPERLINK("https://12go.asia/en/travel/Tbilisi-Airport/Akhalkalaki-Hotel-Transfer", "12Go Link")</f>
        <v>12Go Link</v>
      </c>
      <c r="E2111" s="2" t="s">
        <v>12</v>
      </c>
    </row>
    <row r="2112">
      <c r="A2112" s="2" t="s">
        <v>6</v>
      </c>
      <c r="B2112" s="2" t="s">
        <v>2051</v>
      </c>
      <c r="C2112" s="2" t="s">
        <v>2221</v>
      </c>
      <c r="D2112" s="3" t="str">
        <f t="shared" si="235"/>
        <v>12Go Link</v>
      </c>
      <c r="E2112" s="2" t="s">
        <v>13</v>
      </c>
    </row>
    <row r="2113">
      <c r="A2113" s="2" t="s">
        <v>6</v>
      </c>
      <c r="B2113" s="2" t="s">
        <v>2051</v>
      </c>
      <c r="C2113" s="2" t="s">
        <v>2221</v>
      </c>
      <c r="D2113" s="3" t="str">
        <f t="shared" si="235"/>
        <v>12Go Link</v>
      </c>
      <c r="E2113" s="2" t="s">
        <v>14</v>
      </c>
    </row>
    <row r="2114">
      <c r="A2114" s="2" t="s">
        <v>6</v>
      </c>
      <c r="B2114" s="2" t="s">
        <v>2051</v>
      </c>
      <c r="C2114" s="2" t="s">
        <v>2222</v>
      </c>
      <c r="D2114" s="3" t="str">
        <f t="shared" ref="D2114:D2116" si="236">HYPERLINK("https://12go.asia/en/travel/Tbilisi-Hotel-Transfer/Akhalkalaki-Hotel-Transfer", "12Go Link")</f>
        <v>12Go Link</v>
      </c>
      <c r="E2114" s="2" t="s">
        <v>12</v>
      </c>
    </row>
    <row r="2115">
      <c r="A2115" s="2" t="s">
        <v>6</v>
      </c>
      <c r="B2115" s="2" t="s">
        <v>2051</v>
      </c>
      <c r="C2115" s="2" t="s">
        <v>2222</v>
      </c>
      <c r="D2115" s="3" t="str">
        <f t="shared" si="236"/>
        <v>12Go Link</v>
      </c>
      <c r="E2115" s="2" t="s">
        <v>13</v>
      </c>
    </row>
    <row r="2116">
      <c r="A2116" s="2" t="s">
        <v>6</v>
      </c>
      <c r="B2116" s="2" t="s">
        <v>2051</v>
      </c>
      <c r="C2116" s="2" t="s">
        <v>2222</v>
      </c>
      <c r="D2116" s="3" t="str">
        <f t="shared" si="236"/>
        <v>12Go Link</v>
      </c>
      <c r="E2116" s="2" t="s">
        <v>14</v>
      </c>
    </row>
    <row r="2117">
      <c r="A2117" s="2" t="s">
        <v>6</v>
      </c>
      <c r="B2117" s="2" t="s">
        <v>2058</v>
      </c>
      <c r="C2117" s="2" t="s">
        <v>2223</v>
      </c>
      <c r="D2117" s="3" t="str">
        <f t="shared" ref="D2117:D2119" si="237">HYPERLINK("https://12go.asia/en/travel/Tbilisi-Airport/Akhaltsikhe-Hotel-Transfer", "12Go Link")</f>
        <v>12Go Link</v>
      </c>
      <c r="E2117" s="2" t="s">
        <v>12</v>
      </c>
    </row>
    <row r="2118">
      <c r="A2118" s="2" t="s">
        <v>6</v>
      </c>
      <c r="B2118" s="2" t="s">
        <v>2058</v>
      </c>
      <c r="C2118" s="2" t="s">
        <v>2223</v>
      </c>
      <c r="D2118" s="3" t="str">
        <f t="shared" si="237"/>
        <v>12Go Link</v>
      </c>
      <c r="E2118" s="2" t="s">
        <v>13</v>
      </c>
    </row>
    <row r="2119">
      <c r="A2119" s="2" t="s">
        <v>6</v>
      </c>
      <c r="B2119" s="2" t="s">
        <v>2058</v>
      </c>
      <c r="C2119" s="2" t="s">
        <v>2223</v>
      </c>
      <c r="D2119" s="3" t="str">
        <f t="shared" si="237"/>
        <v>12Go Link</v>
      </c>
      <c r="E2119" s="2" t="s">
        <v>14</v>
      </c>
    </row>
    <row r="2120">
      <c r="A2120" s="2" t="s">
        <v>6</v>
      </c>
      <c r="B2120" s="2" t="s">
        <v>2058</v>
      </c>
      <c r="C2120" s="2" t="s">
        <v>2224</v>
      </c>
      <c r="D2120" s="3" t="str">
        <f t="shared" ref="D2120:D2122" si="238">HYPERLINK("https://12go.asia/en/travel/Tbilisi-Hotel-Transfer/Akhaltsikhe-Hotel-Transfer", "12Go Link")</f>
        <v>12Go Link</v>
      </c>
      <c r="E2120" s="2" t="s">
        <v>12</v>
      </c>
    </row>
    <row r="2121">
      <c r="A2121" s="2" t="s">
        <v>6</v>
      </c>
      <c r="B2121" s="2" t="s">
        <v>2058</v>
      </c>
      <c r="C2121" s="2" t="s">
        <v>2224</v>
      </c>
      <c r="D2121" s="3" t="str">
        <f t="shared" si="238"/>
        <v>12Go Link</v>
      </c>
      <c r="E2121" s="2" t="s">
        <v>13</v>
      </c>
    </row>
    <row r="2122">
      <c r="A2122" s="2" t="s">
        <v>6</v>
      </c>
      <c r="B2122" s="2" t="s">
        <v>2058</v>
      </c>
      <c r="C2122" s="2" t="s">
        <v>2224</v>
      </c>
      <c r="D2122" s="3" t="str">
        <f t="shared" si="238"/>
        <v>12Go Link</v>
      </c>
      <c r="E2122" s="2" t="s">
        <v>14</v>
      </c>
    </row>
    <row r="2123">
      <c r="A2123" s="2" t="s">
        <v>6</v>
      </c>
      <c r="B2123" s="2" t="s">
        <v>10</v>
      </c>
      <c r="C2123" s="2" t="s">
        <v>2225</v>
      </c>
      <c r="D2123" s="3" t="str">
        <f t="shared" ref="D2123:D2125" si="239">HYPERLINK("https://12go.asia/en/travel/Tbilisi-Airport/Batumi-Hotel-Transfer", "12Go Link")</f>
        <v>12Go Link</v>
      </c>
      <c r="E2123" s="2" t="s">
        <v>12</v>
      </c>
    </row>
    <row r="2124">
      <c r="A2124" s="2" t="s">
        <v>6</v>
      </c>
      <c r="B2124" s="2" t="s">
        <v>10</v>
      </c>
      <c r="C2124" s="2" t="s">
        <v>2225</v>
      </c>
      <c r="D2124" s="3" t="str">
        <f t="shared" si="239"/>
        <v>12Go Link</v>
      </c>
      <c r="E2124" s="2" t="s">
        <v>13</v>
      </c>
    </row>
    <row r="2125">
      <c r="A2125" s="2" t="s">
        <v>6</v>
      </c>
      <c r="B2125" s="2" t="s">
        <v>10</v>
      </c>
      <c r="C2125" s="2" t="s">
        <v>2225</v>
      </c>
      <c r="D2125" s="3" t="str">
        <f t="shared" si="239"/>
        <v>12Go Link</v>
      </c>
      <c r="E2125" s="2" t="s">
        <v>14</v>
      </c>
    </row>
    <row r="2126">
      <c r="A2126" s="2" t="s">
        <v>6</v>
      </c>
      <c r="B2126" s="2" t="s">
        <v>10</v>
      </c>
      <c r="C2126" s="2" t="s">
        <v>2226</v>
      </c>
      <c r="D2126" s="3" t="str">
        <f t="shared" ref="D2126:D2128" si="240">HYPERLINK("https://12go.asia/en/travel/Tbilisi-Hotel-Transfer/Batumi-Airport", "12Go Link")</f>
        <v>12Go Link</v>
      </c>
      <c r="E2126" s="2" t="s">
        <v>12</v>
      </c>
    </row>
    <row r="2127">
      <c r="A2127" s="2" t="s">
        <v>6</v>
      </c>
      <c r="B2127" s="2" t="s">
        <v>10</v>
      </c>
      <c r="C2127" s="2" t="s">
        <v>2226</v>
      </c>
      <c r="D2127" s="3" t="str">
        <f t="shared" si="240"/>
        <v>12Go Link</v>
      </c>
      <c r="E2127" s="2" t="s">
        <v>13</v>
      </c>
    </row>
    <row r="2128">
      <c r="A2128" s="2" t="s">
        <v>6</v>
      </c>
      <c r="B2128" s="2" t="s">
        <v>10</v>
      </c>
      <c r="C2128" s="2" t="s">
        <v>2226</v>
      </c>
      <c r="D2128" s="3" t="str">
        <f t="shared" si="240"/>
        <v>12Go Link</v>
      </c>
      <c r="E2128" s="2" t="s">
        <v>14</v>
      </c>
    </row>
    <row r="2129">
      <c r="A2129" s="2" t="s">
        <v>6</v>
      </c>
      <c r="B2129" s="2" t="s">
        <v>10</v>
      </c>
      <c r="C2129" s="2" t="s">
        <v>2227</v>
      </c>
      <c r="D2129" s="3" t="str">
        <f t="shared" ref="D2129:D2131" si="241">HYPERLINK("https://12go.asia/en/travel/Tbilisi-Hotel-Transfer/Batumi-Hotel-Transfer", "12Go Link")</f>
        <v>12Go Link</v>
      </c>
      <c r="E2129" s="2" t="s">
        <v>12</v>
      </c>
    </row>
    <row r="2130">
      <c r="A2130" s="2" t="s">
        <v>6</v>
      </c>
      <c r="B2130" s="2" t="s">
        <v>10</v>
      </c>
      <c r="C2130" s="2" t="s">
        <v>2227</v>
      </c>
      <c r="D2130" s="3" t="str">
        <f t="shared" si="241"/>
        <v>12Go Link</v>
      </c>
      <c r="E2130" s="2" t="s">
        <v>13</v>
      </c>
    </row>
    <row r="2131">
      <c r="A2131" s="2" t="s">
        <v>6</v>
      </c>
      <c r="B2131" s="2" t="s">
        <v>10</v>
      </c>
      <c r="C2131" s="2" t="s">
        <v>2227</v>
      </c>
      <c r="D2131" s="3" t="str">
        <f t="shared" si="241"/>
        <v>12Go Link</v>
      </c>
      <c r="E2131" s="2" t="s">
        <v>14</v>
      </c>
    </row>
    <row r="2132">
      <c r="A2132" s="2" t="s">
        <v>6</v>
      </c>
      <c r="B2132" s="2" t="s">
        <v>2073</v>
      </c>
      <c r="C2132" s="2" t="s">
        <v>2228</v>
      </c>
      <c r="D2132" s="3" t="str">
        <f t="shared" ref="D2132:D2134" si="242">HYPERLINK("https://12go.asia/en/travel/Tbilisi-Airport/Bakuriani-Hotel-Transfer", "12Go Link")</f>
        <v>12Go Link</v>
      </c>
      <c r="E2132" s="2" t="s">
        <v>12</v>
      </c>
    </row>
    <row r="2133">
      <c r="A2133" s="2" t="s">
        <v>6</v>
      </c>
      <c r="B2133" s="2" t="s">
        <v>2073</v>
      </c>
      <c r="C2133" s="2" t="s">
        <v>2228</v>
      </c>
      <c r="D2133" s="3" t="str">
        <f t="shared" si="242"/>
        <v>12Go Link</v>
      </c>
      <c r="E2133" s="2" t="s">
        <v>13</v>
      </c>
    </row>
    <row r="2134">
      <c r="A2134" s="2" t="s">
        <v>6</v>
      </c>
      <c r="B2134" s="2" t="s">
        <v>2073</v>
      </c>
      <c r="C2134" s="2" t="s">
        <v>2228</v>
      </c>
      <c r="D2134" s="3" t="str">
        <f t="shared" si="242"/>
        <v>12Go Link</v>
      </c>
      <c r="E2134" s="2" t="s">
        <v>14</v>
      </c>
    </row>
    <row r="2135">
      <c r="A2135" s="2" t="s">
        <v>6</v>
      </c>
      <c r="B2135" s="2" t="s">
        <v>2073</v>
      </c>
      <c r="C2135" s="2" t="s">
        <v>2229</v>
      </c>
      <c r="D2135" s="3" t="str">
        <f t="shared" ref="D2135:D2137" si="243">HYPERLINK("https://12go.asia/en/travel/Tbilisi-Airport/Borjomi-Hotel-Transfer", "12Go Link")</f>
        <v>12Go Link</v>
      </c>
      <c r="E2135" s="2" t="s">
        <v>12</v>
      </c>
    </row>
    <row r="2136">
      <c r="A2136" s="2" t="s">
        <v>6</v>
      </c>
      <c r="B2136" s="2" t="s">
        <v>2073</v>
      </c>
      <c r="C2136" s="2" t="s">
        <v>2229</v>
      </c>
      <c r="D2136" s="3" t="str">
        <f t="shared" si="243"/>
        <v>12Go Link</v>
      </c>
      <c r="E2136" s="2" t="s">
        <v>13</v>
      </c>
    </row>
    <row r="2137">
      <c r="A2137" s="2" t="s">
        <v>6</v>
      </c>
      <c r="B2137" s="2" t="s">
        <v>2073</v>
      </c>
      <c r="C2137" s="2" t="s">
        <v>2229</v>
      </c>
      <c r="D2137" s="3" t="str">
        <f t="shared" si="243"/>
        <v>12Go Link</v>
      </c>
      <c r="E2137" s="2" t="s">
        <v>14</v>
      </c>
    </row>
    <row r="2138">
      <c r="A2138" s="2" t="s">
        <v>6</v>
      </c>
      <c r="B2138" s="2" t="s">
        <v>2073</v>
      </c>
      <c r="C2138" s="2" t="s">
        <v>2230</v>
      </c>
      <c r="D2138" s="3" t="str">
        <f t="shared" ref="D2138:D2140" si="244">HYPERLINK("https://12go.asia/en/travel/Tbilisi-Hotel-Transfer/Bakuriani-Hotel-Transfer", "12Go Link")</f>
        <v>12Go Link</v>
      </c>
      <c r="E2138" s="2" t="s">
        <v>12</v>
      </c>
    </row>
    <row r="2139">
      <c r="A2139" s="2" t="s">
        <v>6</v>
      </c>
      <c r="B2139" s="2" t="s">
        <v>2073</v>
      </c>
      <c r="C2139" s="2" t="s">
        <v>2230</v>
      </c>
      <c r="D2139" s="3" t="str">
        <f t="shared" si="244"/>
        <v>12Go Link</v>
      </c>
      <c r="E2139" s="2" t="s">
        <v>13</v>
      </c>
    </row>
    <row r="2140">
      <c r="A2140" s="2" t="s">
        <v>6</v>
      </c>
      <c r="B2140" s="2" t="s">
        <v>2073</v>
      </c>
      <c r="C2140" s="2" t="s">
        <v>2230</v>
      </c>
      <c r="D2140" s="3" t="str">
        <f t="shared" si="244"/>
        <v>12Go Link</v>
      </c>
      <c r="E2140" s="2" t="s">
        <v>14</v>
      </c>
    </row>
    <row r="2141">
      <c r="A2141" s="2" t="s">
        <v>6</v>
      </c>
      <c r="B2141" s="2" t="s">
        <v>2073</v>
      </c>
      <c r="C2141" s="2" t="s">
        <v>2231</v>
      </c>
      <c r="D2141" s="3" t="str">
        <f t="shared" ref="D2141:D2143" si="245">HYPERLINK("https://12go.asia/en/travel/Tbilisi-Hotel-Transfer/Borjomi-Hotel-Transfer", "12Go Link")</f>
        <v>12Go Link</v>
      </c>
      <c r="E2141" s="2" t="s">
        <v>12</v>
      </c>
    </row>
    <row r="2142">
      <c r="A2142" s="2" t="s">
        <v>6</v>
      </c>
      <c r="B2142" s="2" t="s">
        <v>2073</v>
      </c>
      <c r="C2142" s="2" t="s">
        <v>2231</v>
      </c>
      <c r="D2142" s="3" t="str">
        <f t="shared" si="245"/>
        <v>12Go Link</v>
      </c>
      <c r="E2142" s="2" t="s">
        <v>13</v>
      </c>
    </row>
    <row r="2143">
      <c r="A2143" s="2" t="s">
        <v>6</v>
      </c>
      <c r="B2143" s="2" t="s">
        <v>2073</v>
      </c>
      <c r="C2143" s="2" t="s">
        <v>2231</v>
      </c>
      <c r="D2143" s="3" t="str">
        <f t="shared" si="245"/>
        <v>12Go Link</v>
      </c>
      <c r="E2143" s="2" t="s">
        <v>14</v>
      </c>
    </row>
    <row r="2144">
      <c r="A2144" s="2" t="s">
        <v>6</v>
      </c>
      <c r="B2144" s="2" t="s">
        <v>2078</v>
      </c>
      <c r="C2144" s="2" t="s">
        <v>2232</v>
      </c>
      <c r="D2144" s="3" t="str">
        <f t="shared" ref="D2144:D2146" si="246">HYPERLINK("https://12go.asia/en/travel/Tbilisi-Airport/Gori-Hotel-Transfer", "12Go Link")</f>
        <v>12Go Link</v>
      </c>
      <c r="E2144" s="2" t="s">
        <v>12</v>
      </c>
    </row>
    <row r="2145">
      <c r="A2145" s="2" t="s">
        <v>6</v>
      </c>
      <c r="B2145" s="2" t="s">
        <v>2078</v>
      </c>
      <c r="C2145" s="2" t="s">
        <v>2232</v>
      </c>
      <c r="D2145" s="3" t="str">
        <f t="shared" si="246"/>
        <v>12Go Link</v>
      </c>
      <c r="E2145" s="2" t="s">
        <v>13</v>
      </c>
    </row>
    <row r="2146">
      <c r="A2146" s="2" t="s">
        <v>6</v>
      </c>
      <c r="B2146" s="2" t="s">
        <v>2078</v>
      </c>
      <c r="C2146" s="2" t="s">
        <v>2232</v>
      </c>
      <c r="D2146" s="3" t="str">
        <f t="shared" si="246"/>
        <v>12Go Link</v>
      </c>
      <c r="E2146" s="2" t="s">
        <v>14</v>
      </c>
    </row>
    <row r="2147">
      <c r="A2147" s="2" t="s">
        <v>6</v>
      </c>
      <c r="B2147" s="2" t="s">
        <v>2078</v>
      </c>
      <c r="C2147" s="2" t="s">
        <v>2233</v>
      </c>
      <c r="D2147" s="3" t="str">
        <f t="shared" ref="D2147:D2149" si="247">HYPERLINK("https://12go.asia/en/travel/Tbilisi-Hotel-Transfer/Gori-Hotel-Transfer", "12Go Link")</f>
        <v>12Go Link</v>
      </c>
      <c r="E2147" s="2" t="s">
        <v>12</v>
      </c>
    </row>
    <row r="2148">
      <c r="A2148" s="2" t="s">
        <v>6</v>
      </c>
      <c r="B2148" s="2" t="s">
        <v>2078</v>
      </c>
      <c r="C2148" s="2" t="s">
        <v>2233</v>
      </c>
      <c r="D2148" s="3" t="str">
        <f t="shared" si="247"/>
        <v>12Go Link</v>
      </c>
      <c r="E2148" s="2" t="s">
        <v>13</v>
      </c>
    </row>
    <row r="2149">
      <c r="A2149" s="2" t="s">
        <v>6</v>
      </c>
      <c r="B2149" s="2" t="s">
        <v>2078</v>
      </c>
      <c r="C2149" s="2" t="s">
        <v>2233</v>
      </c>
      <c r="D2149" s="3" t="str">
        <f t="shared" si="247"/>
        <v>12Go Link</v>
      </c>
      <c r="E2149" s="2" t="s">
        <v>14</v>
      </c>
    </row>
    <row r="2150">
      <c r="A2150" s="2" t="s">
        <v>6</v>
      </c>
      <c r="B2150" s="2" t="s">
        <v>2081</v>
      </c>
      <c r="C2150" s="2" t="s">
        <v>2234</v>
      </c>
      <c r="D2150" s="3" t="str">
        <f t="shared" ref="D2150:D2152" si="248">HYPERLINK("https://12go.asia/en/travel/Tbilisi-Airport/Gudauri-Hotel-Transfer", "12Go Link")</f>
        <v>12Go Link</v>
      </c>
      <c r="E2150" s="2" t="s">
        <v>12</v>
      </c>
    </row>
    <row r="2151">
      <c r="A2151" s="2" t="s">
        <v>6</v>
      </c>
      <c r="B2151" s="2" t="s">
        <v>2081</v>
      </c>
      <c r="C2151" s="2" t="s">
        <v>2234</v>
      </c>
      <c r="D2151" s="3" t="str">
        <f t="shared" si="248"/>
        <v>12Go Link</v>
      </c>
      <c r="E2151" s="2" t="s">
        <v>13</v>
      </c>
    </row>
    <row r="2152">
      <c r="A2152" s="2" t="s">
        <v>6</v>
      </c>
      <c r="B2152" s="2" t="s">
        <v>2081</v>
      </c>
      <c r="C2152" s="2" t="s">
        <v>2234</v>
      </c>
      <c r="D2152" s="3" t="str">
        <f t="shared" si="248"/>
        <v>12Go Link</v>
      </c>
      <c r="E2152" s="2" t="s">
        <v>14</v>
      </c>
    </row>
    <row r="2153">
      <c r="A2153" s="2" t="s">
        <v>6</v>
      </c>
      <c r="B2153" s="2" t="s">
        <v>2081</v>
      </c>
      <c r="C2153" s="2" t="s">
        <v>2235</v>
      </c>
      <c r="D2153" s="3" t="str">
        <f t="shared" ref="D2153:D2155" si="249">HYPERLINK("https://12go.asia/en/travel/Tbilisi-Hotel-Transfer/Gudauri-Hotel-Transfer", "12Go Link")</f>
        <v>12Go Link</v>
      </c>
      <c r="E2153" s="2" t="s">
        <v>12</v>
      </c>
    </row>
    <row r="2154">
      <c r="A2154" s="2" t="s">
        <v>6</v>
      </c>
      <c r="B2154" s="2" t="s">
        <v>2081</v>
      </c>
      <c r="C2154" s="2" t="s">
        <v>2235</v>
      </c>
      <c r="D2154" s="3" t="str">
        <f t="shared" si="249"/>
        <v>12Go Link</v>
      </c>
      <c r="E2154" s="2" t="s">
        <v>13</v>
      </c>
    </row>
    <row r="2155">
      <c r="A2155" s="2" t="s">
        <v>6</v>
      </c>
      <c r="B2155" s="2" t="s">
        <v>2081</v>
      </c>
      <c r="C2155" s="2" t="s">
        <v>2235</v>
      </c>
      <c r="D2155" s="3" t="str">
        <f t="shared" si="249"/>
        <v>12Go Link</v>
      </c>
      <c r="E2155" s="2" t="s">
        <v>14</v>
      </c>
    </row>
    <row r="2156">
      <c r="A2156" s="2" t="s">
        <v>6</v>
      </c>
      <c r="B2156" s="2" t="s">
        <v>2084</v>
      </c>
      <c r="C2156" s="2" t="s">
        <v>2236</v>
      </c>
      <c r="D2156" s="3" t="str">
        <f t="shared" ref="D2156:D2158" si="250">HYPERLINK("https://12go.asia/en/travel/Tbilisi-Airport/Kvareli-Hotel-Transfer", "12Go Link")</f>
        <v>12Go Link</v>
      </c>
      <c r="E2156" s="2" t="s">
        <v>12</v>
      </c>
    </row>
    <row r="2157">
      <c r="A2157" s="2" t="s">
        <v>6</v>
      </c>
      <c r="B2157" s="2" t="s">
        <v>2084</v>
      </c>
      <c r="C2157" s="2" t="s">
        <v>2236</v>
      </c>
      <c r="D2157" s="3" t="str">
        <f t="shared" si="250"/>
        <v>12Go Link</v>
      </c>
      <c r="E2157" s="2" t="s">
        <v>13</v>
      </c>
    </row>
    <row r="2158">
      <c r="A2158" s="2" t="s">
        <v>6</v>
      </c>
      <c r="B2158" s="2" t="s">
        <v>2084</v>
      </c>
      <c r="C2158" s="2" t="s">
        <v>2236</v>
      </c>
      <c r="D2158" s="3" t="str">
        <f t="shared" si="250"/>
        <v>12Go Link</v>
      </c>
      <c r="E2158" s="2" t="s">
        <v>14</v>
      </c>
    </row>
    <row r="2159">
      <c r="A2159" s="2" t="s">
        <v>6</v>
      </c>
      <c r="B2159" s="2" t="s">
        <v>2084</v>
      </c>
      <c r="C2159" s="2" t="s">
        <v>2237</v>
      </c>
      <c r="D2159" s="3" t="str">
        <f t="shared" ref="D2159:D2161" si="251">HYPERLINK("https://12go.asia/en/travel/Tbilisi-Airport/Lopota-Lake-Hotel-Transfer", "12Go Link")</f>
        <v>12Go Link</v>
      </c>
      <c r="E2159" s="2" t="s">
        <v>12</v>
      </c>
    </row>
    <row r="2160">
      <c r="A2160" s="2" t="s">
        <v>6</v>
      </c>
      <c r="B2160" s="2" t="s">
        <v>2084</v>
      </c>
      <c r="C2160" s="2" t="s">
        <v>2237</v>
      </c>
      <c r="D2160" s="3" t="str">
        <f t="shared" si="251"/>
        <v>12Go Link</v>
      </c>
      <c r="E2160" s="2" t="s">
        <v>13</v>
      </c>
    </row>
    <row r="2161">
      <c r="A2161" s="2" t="s">
        <v>6</v>
      </c>
      <c r="B2161" s="2" t="s">
        <v>2084</v>
      </c>
      <c r="C2161" s="2" t="s">
        <v>2237</v>
      </c>
      <c r="D2161" s="3" t="str">
        <f t="shared" si="251"/>
        <v>12Go Link</v>
      </c>
      <c r="E2161" s="2" t="s">
        <v>14</v>
      </c>
    </row>
    <row r="2162">
      <c r="A2162" s="2" t="s">
        <v>6</v>
      </c>
      <c r="B2162" s="2" t="s">
        <v>2084</v>
      </c>
      <c r="C2162" s="2" t="s">
        <v>2238</v>
      </c>
      <c r="D2162" s="3" t="str">
        <f t="shared" ref="D2162:D2164" si="252">HYPERLINK("https://12go.asia/en/travel/Tbilisi-Hotel-Transfer/Kvareli-Hotel-Transfer", "12Go Link")</f>
        <v>12Go Link</v>
      </c>
      <c r="E2162" s="2" t="s">
        <v>12</v>
      </c>
    </row>
    <row r="2163">
      <c r="A2163" s="2" t="s">
        <v>6</v>
      </c>
      <c r="B2163" s="2" t="s">
        <v>2084</v>
      </c>
      <c r="C2163" s="2" t="s">
        <v>2238</v>
      </c>
      <c r="D2163" s="3" t="str">
        <f t="shared" si="252"/>
        <v>12Go Link</v>
      </c>
      <c r="E2163" s="2" t="s">
        <v>13</v>
      </c>
    </row>
    <row r="2164">
      <c r="A2164" s="2" t="s">
        <v>6</v>
      </c>
      <c r="B2164" s="2" t="s">
        <v>2084</v>
      </c>
      <c r="C2164" s="2" t="s">
        <v>2238</v>
      </c>
      <c r="D2164" s="3" t="str">
        <f t="shared" si="252"/>
        <v>12Go Link</v>
      </c>
      <c r="E2164" s="2" t="s">
        <v>14</v>
      </c>
    </row>
    <row r="2165">
      <c r="A2165" s="2" t="s">
        <v>6</v>
      </c>
      <c r="B2165" s="2" t="s">
        <v>2084</v>
      </c>
      <c r="C2165" s="2" t="s">
        <v>2239</v>
      </c>
      <c r="D2165" s="3" t="str">
        <f t="shared" ref="D2165:D2167" si="253">HYPERLINK("https://12go.asia/en/travel/Tbilisi-Hotel-Transfer/Lopota-Lake-Hotel-Transfer", "12Go Link")</f>
        <v>12Go Link</v>
      </c>
      <c r="E2165" s="2" t="s">
        <v>12</v>
      </c>
    </row>
    <row r="2166">
      <c r="A2166" s="2" t="s">
        <v>6</v>
      </c>
      <c r="B2166" s="2" t="s">
        <v>2084</v>
      </c>
      <c r="C2166" s="2" t="s">
        <v>2239</v>
      </c>
      <c r="D2166" s="3" t="str">
        <f t="shared" si="253"/>
        <v>12Go Link</v>
      </c>
      <c r="E2166" s="2" t="s">
        <v>13</v>
      </c>
    </row>
    <row r="2167">
      <c r="A2167" s="2" t="s">
        <v>6</v>
      </c>
      <c r="B2167" s="2" t="s">
        <v>2084</v>
      </c>
      <c r="C2167" s="2" t="s">
        <v>2239</v>
      </c>
      <c r="D2167" s="3" t="str">
        <f t="shared" si="253"/>
        <v>12Go Link</v>
      </c>
      <c r="E2167" s="2" t="s">
        <v>14</v>
      </c>
    </row>
    <row r="2168">
      <c r="A2168" s="2" t="s">
        <v>6</v>
      </c>
      <c r="B2168" s="2" t="s">
        <v>2089</v>
      </c>
      <c r="C2168" s="2" t="s">
        <v>2240</v>
      </c>
      <c r="D2168" s="3" t="str">
        <f t="shared" ref="D2168:D2170" si="254">HYPERLINK("https://12go.asia/en/travel/Tbilisi-Airport/Kobuleti-Hotel-Transfer", "12Go Link")</f>
        <v>12Go Link</v>
      </c>
      <c r="E2168" s="2" t="s">
        <v>12</v>
      </c>
    </row>
    <row r="2169">
      <c r="A2169" s="2" t="s">
        <v>6</v>
      </c>
      <c r="B2169" s="2" t="s">
        <v>2089</v>
      </c>
      <c r="C2169" s="2" t="s">
        <v>2240</v>
      </c>
      <c r="D2169" s="3" t="str">
        <f t="shared" si="254"/>
        <v>12Go Link</v>
      </c>
      <c r="E2169" s="2" t="s">
        <v>13</v>
      </c>
    </row>
    <row r="2170">
      <c r="A2170" s="2" t="s">
        <v>6</v>
      </c>
      <c r="B2170" s="2" t="s">
        <v>2089</v>
      </c>
      <c r="C2170" s="2" t="s">
        <v>2240</v>
      </c>
      <c r="D2170" s="3" t="str">
        <f t="shared" si="254"/>
        <v>12Go Link</v>
      </c>
      <c r="E2170" s="2" t="s">
        <v>14</v>
      </c>
    </row>
    <row r="2171">
      <c r="A2171" s="2" t="s">
        <v>6</v>
      </c>
      <c r="B2171" s="2" t="s">
        <v>2089</v>
      </c>
      <c r="C2171" s="2" t="s">
        <v>2241</v>
      </c>
      <c r="D2171" s="3" t="str">
        <f t="shared" ref="D2171:D2173" si="255">HYPERLINK("https://12go.asia/en/travel/Tbilisi-Hotel-Transfer/Kobuleti-Hotel-Transfer", "12Go Link")</f>
        <v>12Go Link</v>
      </c>
      <c r="E2171" s="2" t="s">
        <v>12</v>
      </c>
    </row>
    <row r="2172">
      <c r="A2172" s="2" t="s">
        <v>6</v>
      </c>
      <c r="B2172" s="2" t="s">
        <v>2089</v>
      </c>
      <c r="C2172" s="2" t="s">
        <v>2241</v>
      </c>
      <c r="D2172" s="3" t="str">
        <f t="shared" si="255"/>
        <v>12Go Link</v>
      </c>
      <c r="E2172" s="2" t="s">
        <v>13</v>
      </c>
    </row>
    <row r="2173">
      <c r="A2173" s="2" t="s">
        <v>6</v>
      </c>
      <c r="B2173" s="2" t="s">
        <v>2089</v>
      </c>
      <c r="C2173" s="2" t="s">
        <v>2241</v>
      </c>
      <c r="D2173" s="3" t="str">
        <f t="shared" si="255"/>
        <v>12Go Link</v>
      </c>
      <c r="E2173" s="2" t="s">
        <v>14</v>
      </c>
    </row>
    <row r="2174">
      <c r="A2174" s="2" t="s">
        <v>6</v>
      </c>
      <c r="B2174" s="2" t="s">
        <v>16</v>
      </c>
      <c r="C2174" s="2" t="s">
        <v>2242</v>
      </c>
      <c r="D2174" s="3" t="str">
        <f t="shared" ref="D2174:D2176" si="256">HYPERLINK("https://12go.asia/en/travel/Tbilisi-Airport/Kutaisi-Hotel-Transfer", "12Go Link")</f>
        <v>12Go Link</v>
      </c>
      <c r="E2174" s="2" t="s">
        <v>12</v>
      </c>
    </row>
    <row r="2175">
      <c r="A2175" s="2" t="s">
        <v>6</v>
      </c>
      <c r="B2175" s="2" t="s">
        <v>16</v>
      </c>
      <c r="C2175" s="2" t="s">
        <v>2242</v>
      </c>
      <c r="D2175" s="3" t="str">
        <f t="shared" si="256"/>
        <v>12Go Link</v>
      </c>
      <c r="E2175" s="2" t="s">
        <v>13</v>
      </c>
    </row>
    <row r="2176">
      <c r="A2176" s="2" t="s">
        <v>6</v>
      </c>
      <c r="B2176" s="2" t="s">
        <v>16</v>
      </c>
      <c r="C2176" s="2" t="s">
        <v>2242</v>
      </c>
      <c r="D2176" s="3" t="str">
        <f t="shared" si="256"/>
        <v>12Go Link</v>
      </c>
      <c r="E2176" s="2" t="s">
        <v>14</v>
      </c>
    </row>
    <row r="2177">
      <c r="A2177" s="2" t="s">
        <v>6</v>
      </c>
      <c r="B2177" s="2" t="s">
        <v>16</v>
      </c>
      <c r="C2177" s="2" t="s">
        <v>2243</v>
      </c>
      <c r="D2177" s="3" t="str">
        <f t="shared" ref="D2177:D2179" si="257">HYPERLINK("https://12go.asia/en/travel/Tbilisi-Hotel-Transfer/Kutaisi-Airport", "12Go Link")</f>
        <v>12Go Link</v>
      </c>
      <c r="E2177" s="2" t="s">
        <v>12</v>
      </c>
    </row>
    <row r="2178">
      <c r="A2178" s="2" t="s">
        <v>6</v>
      </c>
      <c r="B2178" s="2" t="s">
        <v>16</v>
      </c>
      <c r="C2178" s="2" t="s">
        <v>2243</v>
      </c>
      <c r="D2178" s="3" t="str">
        <f t="shared" si="257"/>
        <v>12Go Link</v>
      </c>
      <c r="E2178" s="2" t="s">
        <v>13</v>
      </c>
    </row>
    <row r="2179">
      <c r="A2179" s="2" t="s">
        <v>6</v>
      </c>
      <c r="B2179" s="2" t="s">
        <v>16</v>
      </c>
      <c r="C2179" s="2" t="s">
        <v>2243</v>
      </c>
      <c r="D2179" s="3" t="str">
        <f t="shared" si="257"/>
        <v>12Go Link</v>
      </c>
      <c r="E2179" s="2" t="s">
        <v>14</v>
      </c>
    </row>
    <row r="2180">
      <c r="A2180" s="2" t="s">
        <v>6</v>
      </c>
      <c r="B2180" s="2" t="s">
        <v>16</v>
      </c>
      <c r="C2180" s="2" t="s">
        <v>2244</v>
      </c>
      <c r="D2180" s="3" t="str">
        <f t="shared" ref="D2180:D2182" si="258">HYPERLINK("https://12go.asia/en/travel/Tbilisi-Hotel-Transfer/Kutaisi-Hotel-Transfer", "12Go Link")</f>
        <v>12Go Link</v>
      </c>
      <c r="E2180" s="2" t="s">
        <v>12</v>
      </c>
    </row>
    <row r="2181">
      <c r="A2181" s="2" t="s">
        <v>6</v>
      </c>
      <c r="B2181" s="2" t="s">
        <v>16</v>
      </c>
      <c r="C2181" s="2" t="s">
        <v>2244</v>
      </c>
      <c r="D2181" s="3" t="str">
        <f t="shared" si="258"/>
        <v>12Go Link</v>
      </c>
      <c r="E2181" s="2" t="s">
        <v>13</v>
      </c>
    </row>
    <row r="2182">
      <c r="A2182" s="2" t="s">
        <v>6</v>
      </c>
      <c r="B2182" s="2" t="s">
        <v>16</v>
      </c>
      <c r="C2182" s="2" t="s">
        <v>2244</v>
      </c>
      <c r="D2182" s="3" t="str">
        <f t="shared" si="258"/>
        <v>12Go Link</v>
      </c>
      <c r="E2182" s="2" t="s">
        <v>14</v>
      </c>
    </row>
    <row r="2183">
      <c r="A2183" s="2" t="s">
        <v>6</v>
      </c>
      <c r="B2183" s="2" t="s">
        <v>2095</v>
      </c>
      <c r="C2183" s="2" t="s">
        <v>2245</v>
      </c>
      <c r="D2183" s="3" t="str">
        <f t="shared" ref="D2183:D2185" si="259">HYPERLINK("https://12go.asia/en/travel/Tbilisi-Airport/Mestia-Hotel-Transfer", "12Go Link")</f>
        <v>12Go Link</v>
      </c>
      <c r="E2183" s="2" t="s">
        <v>12</v>
      </c>
    </row>
    <row r="2184">
      <c r="A2184" s="2" t="s">
        <v>6</v>
      </c>
      <c r="B2184" s="2" t="s">
        <v>2095</v>
      </c>
      <c r="C2184" s="2" t="s">
        <v>2245</v>
      </c>
      <c r="D2184" s="3" t="str">
        <f t="shared" si="259"/>
        <v>12Go Link</v>
      </c>
      <c r="E2184" s="2" t="s">
        <v>13</v>
      </c>
    </row>
    <row r="2185">
      <c r="A2185" s="2" t="s">
        <v>6</v>
      </c>
      <c r="B2185" s="2" t="s">
        <v>2095</v>
      </c>
      <c r="C2185" s="2" t="s">
        <v>2245</v>
      </c>
      <c r="D2185" s="3" t="str">
        <f t="shared" si="259"/>
        <v>12Go Link</v>
      </c>
      <c r="E2185" s="2" t="s">
        <v>14</v>
      </c>
    </row>
    <row r="2186">
      <c r="A2186" s="2" t="s">
        <v>6</v>
      </c>
      <c r="B2186" s="2" t="s">
        <v>2095</v>
      </c>
      <c r="C2186" s="2" t="s">
        <v>2246</v>
      </c>
      <c r="D2186" s="3" t="str">
        <f t="shared" ref="D2186:D2188" si="260">HYPERLINK("https://12go.asia/en/travel/Tbilisi-Hotel-Transfer/Mestia-Hotel-Transfer", "12Go Link")</f>
        <v>12Go Link</v>
      </c>
      <c r="E2186" s="2" t="s">
        <v>12</v>
      </c>
    </row>
    <row r="2187">
      <c r="A2187" s="2" t="s">
        <v>6</v>
      </c>
      <c r="B2187" s="2" t="s">
        <v>2095</v>
      </c>
      <c r="C2187" s="2" t="s">
        <v>2246</v>
      </c>
      <c r="D2187" s="3" t="str">
        <f t="shared" si="260"/>
        <v>12Go Link</v>
      </c>
      <c r="E2187" s="2" t="s">
        <v>13</v>
      </c>
    </row>
    <row r="2188">
      <c r="A2188" s="2" t="s">
        <v>6</v>
      </c>
      <c r="B2188" s="2" t="s">
        <v>2095</v>
      </c>
      <c r="C2188" s="2" t="s">
        <v>2246</v>
      </c>
      <c r="D2188" s="3" t="str">
        <f t="shared" si="260"/>
        <v>12Go Link</v>
      </c>
      <c r="E2188" s="2" t="s">
        <v>14</v>
      </c>
    </row>
    <row r="2189">
      <c r="A2189" s="2" t="s">
        <v>6</v>
      </c>
      <c r="B2189" s="2" t="s">
        <v>2098</v>
      </c>
      <c r="C2189" s="2" t="s">
        <v>2247</v>
      </c>
      <c r="D2189" s="3" t="str">
        <f t="shared" ref="D2189:D2191" si="261">HYPERLINK("https://12go.asia/en/travel/Tbilisi-Airport/Stepantsminda-Hotel-Transfer", "12Go Link")</f>
        <v>12Go Link</v>
      </c>
      <c r="E2189" s="2" t="s">
        <v>12</v>
      </c>
    </row>
    <row r="2190">
      <c r="A2190" s="2" t="s">
        <v>6</v>
      </c>
      <c r="B2190" s="2" t="s">
        <v>2098</v>
      </c>
      <c r="C2190" s="2" t="s">
        <v>2247</v>
      </c>
      <c r="D2190" s="3" t="str">
        <f t="shared" si="261"/>
        <v>12Go Link</v>
      </c>
      <c r="E2190" s="2" t="s">
        <v>13</v>
      </c>
    </row>
    <row r="2191">
      <c r="A2191" s="2" t="s">
        <v>6</v>
      </c>
      <c r="B2191" s="2" t="s">
        <v>2098</v>
      </c>
      <c r="C2191" s="2" t="s">
        <v>2247</v>
      </c>
      <c r="D2191" s="3" t="str">
        <f t="shared" si="261"/>
        <v>12Go Link</v>
      </c>
      <c r="E2191" s="2" t="s">
        <v>14</v>
      </c>
    </row>
    <row r="2192">
      <c r="A2192" s="2" t="s">
        <v>6</v>
      </c>
      <c r="B2192" s="2" t="s">
        <v>2098</v>
      </c>
      <c r="C2192" s="2" t="s">
        <v>2248</v>
      </c>
      <c r="D2192" s="3" t="str">
        <f t="shared" ref="D2192:D2194" si="262">HYPERLINK("https://12go.asia/en/travel/Tbilisi-Hotel-Transfer/Stepantsminda-Hotel-Transfer", "12Go Link")</f>
        <v>12Go Link</v>
      </c>
      <c r="E2192" s="2" t="s">
        <v>12</v>
      </c>
    </row>
    <row r="2193">
      <c r="A2193" s="2" t="s">
        <v>6</v>
      </c>
      <c r="B2193" s="2" t="s">
        <v>2098</v>
      </c>
      <c r="C2193" s="2" t="s">
        <v>2248</v>
      </c>
      <c r="D2193" s="3" t="str">
        <f t="shared" si="262"/>
        <v>12Go Link</v>
      </c>
      <c r="E2193" s="2" t="s">
        <v>13</v>
      </c>
    </row>
    <row r="2194">
      <c r="A2194" s="2" t="s">
        <v>6</v>
      </c>
      <c r="B2194" s="2" t="s">
        <v>2098</v>
      </c>
      <c r="C2194" s="2" t="s">
        <v>2248</v>
      </c>
      <c r="D2194" s="3" t="str">
        <f t="shared" si="262"/>
        <v>12Go Link</v>
      </c>
      <c r="E2194" s="2" t="s">
        <v>14</v>
      </c>
    </row>
    <row r="2195">
      <c r="A2195" s="2" t="s">
        <v>6</v>
      </c>
      <c r="B2195" s="2" t="s">
        <v>2101</v>
      </c>
      <c r="C2195" s="2" t="s">
        <v>2249</v>
      </c>
      <c r="D2195" s="3" t="str">
        <f t="shared" ref="D2195:D2197" si="263">HYPERLINK("https://12go.asia/en/travel/Tbilisi-Airport/Shekvetili-Hotel-Transfer", "12Go Link")</f>
        <v>12Go Link</v>
      </c>
      <c r="E2195" s="2" t="s">
        <v>12</v>
      </c>
    </row>
    <row r="2196">
      <c r="A2196" s="2" t="s">
        <v>6</v>
      </c>
      <c r="B2196" s="2" t="s">
        <v>2101</v>
      </c>
      <c r="C2196" s="2" t="s">
        <v>2249</v>
      </c>
      <c r="D2196" s="3" t="str">
        <f t="shared" si="263"/>
        <v>12Go Link</v>
      </c>
      <c r="E2196" s="2" t="s">
        <v>13</v>
      </c>
    </row>
    <row r="2197">
      <c r="A2197" s="2" t="s">
        <v>6</v>
      </c>
      <c r="B2197" s="2" t="s">
        <v>2101</v>
      </c>
      <c r="C2197" s="2" t="s">
        <v>2249</v>
      </c>
      <c r="D2197" s="3" t="str">
        <f t="shared" si="263"/>
        <v>12Go Link</v>
      </c>
      <c r="E2197" s="2" t="s">
        <v>14</v>
      </c>
    </row>
    <row r="2198">
      <c r="A2198" s="2" t="s">
        <v>6</v>
      </c>
      <c r="B2198" s="2" t="s">
        <v>2101</v>
      </c>
      <c r="C2198" s="2" t="s">
        <v>2250</v>
      </c>
      <c r="D2198" s="3" t="str">
        <f t="shared" ref="D2198:D2200" si="264">HYPERLINK("https://12go.asia/en/travel/Tbilisi-Hotel-Transfer/Shekvetili-Hotel-Transfer", "12Go Link")</f>
        <v>12Go Link</v>
      </c>
      <c r="E2198" s="2" t="s">
        <v>12</v>
      </c>
    </row>
    <row r="2199">
      <c r="A2199" s="2" t="s">
        <v>6</v>
      </c>
      <c r="B2199" s="2" t="s">
        <v>2101</v>
      </c>
      <c r="C2199" s="2" t="s">
        <v>2250</v>
      </c>
      <c r="D2199" s="3" t="str">
        <f t="shared" si="264"/>
        <v>12Go Link</v>
      </c>
      <c r="E2199" s="2" t="s">
        <v>13</v>
      </c>
    </row>
    <row r="2200">
      <c r="A2200" s="2" t="s">
        <v>6</v>
      </c>
      <c r="B2200" s="2" t="s">
        <v>2101</v>
      </c>
      <c r="C2200" s="2" t="s">
        <v>2250</v>
      </c>
      <c r="D2200" s="3" t="str">
        <f t="shared" si="264"/>
        <v>12Go Link</v>
      </c>
      <c r="E2200" s="2" t="s">
        <v>14</v>
      </c>
    </row>
    <row r="2201">
      <c r="A2201" s="2" t="s">
        <v>6</v>
      </c>
      <c r="B2201" s="2" t="s">
        <v>2104</v>
      </c>
      <c r="C2201" s="2" t="s">
        <v>2251</v>
      </c>
      <c r="D2201" s="3" t="str">
        <f t="shared" ref="D2201:D2203" si="265">HYPERLINK("https://12go.asia/en/travel/Tbilisi-Airport/Sighnaghi-Hotel-Transfer", "12Go Link")</f>
        <v>12Go Link</v>
      </c>
      <c r="E2201" s="2" t="s">
        <v>12</v>
      </c>
    </row>
    <row r="2202">
      <c r="A2202" s="2" t="s">
        <v>6</v>
      </c>
      <c r="B2202" s="2" t="s">
        <v>2104</v>
      </c>
      <c r="C2202" s="2" t="s">
        <v>2251</v>
      </c>
      <c r="D2202" s="3" t="str">
        <f t="shared" si="265"/>
        <v>12Go Link</v>
      </c>
      <c r="E2202" s="2" t="s">
        <v>13</v>
      </c>
    </row>
    <row r="2203">
      <c r="A2203" s="2" t="s">
        <v>6</v>
      </c>
      <c r="B2203" s="2" t="s">
        <v>2104</v>
      </c>
      <c r="C2203" s="2" t="s">
        <v>2251</v>
      </c>
      <c r="D2203" s="3" t="str">
        <f t="shared" si="265"/>
        <v>12Go Link</v>
      </c>
      <c r="E2203" s="2" t="s">
        <v>14</v>
      </c>
    </row>
    <row r="2204">
      <c r="A2204" s="2" t="s">
        <v>6</v>
      </c>
      <c r="B2204" s="2" t="s">
        <v>2104</v>
      </c>
      <c r="C2204" s="2" t="s">
        <v>2252</v>
      </c>
      <c r="D2204" s="3" t="str">
        <f t="shared" ref="D2204:D2206" si="266">HYPERLINK("https://12go.asia/en/travel/Tbilisi-Hotel-Transfer/Sighnaghi-Hotel-Transfer", "12Go Link")</f>
        <v>12Go Link</v>
      </c>
      <c r="E2204" s="2" t="s">
        <v>12</v>
      </c>
    </row>
    <row r="2205">
      <c r="A2205" s="2" t="s">
        <v>6</v>
      </c>
      <c r="B2205" s="2" t="s">
        <v>2104</v>
      </c>
      <c r="C2205" s="2" t="s">
        <v>2252</v>
      </c>
      <c r="D2205" s="3" t="str">
        <f t="shared" si="266"/>
        <v>12Go Link</v>
      </c>
      <c r="E2205" s="2" t="s">
        <v>13</v>
      </c>
    </row>
    <row r="2206">
      <c r="A2206" s="2" t="s">
        <v>6</v>
      </c>
      <c r="B2206" s="2" t="s">
        <v>2104</v>
      </c>
      <c r="C2206" s="2" t="s">
        <v>2252</v>
      </c>
      <c r="D2206" s="3" t="str">
        <f t="shared" si="266"/>
        <v>12Go Link</v>
      </c>
      <c r="E2206" s="2" t="s">
        <v>14</v>
      </c>
    </row>
    <row r="2207">
      <c r="A2207" s="2" t="s">
        <v>6</v>
      </c>
      <c r="B2207" s="2" t="s">
        <v>6</v>
      </c>
      <c r="C2207" s="2" t="s">
        <v>2253</v>
      </c>
      <c r="D2207" s="3" t="str">
        <f t="shared" ref="D2207:D2209" si="267">HYPERLINK("https://12go.asia/en/travel/Tbilisi-Airport/Tbilisi-Hotel-Transfer", "12Go Link")</f>
        <v>12Go Link</v>
      </c>
      <c r="E2207" s="2" t="s">
        <v>12</v>
      </c>
    </row>
    <row r="2208">
      <c r="A2208" s="2" t="s">
        <v>6</v>
      </c>
      <c r="B2208" s="2" t="s">
        <v>6</v>
      </c>
      <c r="C2208" s="2" t="s">
        <v>2253</v>
      </c>
      <c r="D2208" s="3" t="str">
        <f t="shared" si="267"/>
        <v>12Go Link</v>
      </c>
      <c r="E2208" s="2" t="s">
        <v>13</v>
      </c>
    </row>
    <row r="2209">
      <c r="A2209" s="2" t="s">
        <v>6</v>
      </c>
      <c r="B2209" s="2" t="s">
        <v>6</v>
      </c>
      <c r="C2209" s="2" t="s">
        <v>2253</v>
      </c>
      <c r="D2209" s="3" t="str">
        <f t="shared" si="267"/>
        <v>12Go Link</v>
      </c>
      <c r="E2209" s="2" t="s">
        <v>14</v>
      </c>
    </row>
    <row r="2210">
      <c r="A2210" s="2" t="s">
        <v>6</v>
      </c>
      <c r="B2210" s="2" t="s">
        <v>6</v>
      </c>
      <c r="C2210" s="2" t="s">
        <v>2254</v>
      </c>
      <c r="D2210" s="3" t="str">
        <f t="shared" ref="D2210:D2212" si="268">HYPERLINK("https://12go.asia/en/travel/Tbilisi-Hotel-Transfer/Tbilisi-Airport", "12Go Link")</f>
        <v>12Go Link</v>
      </c>
      <c r="E2210" s="2" t="s">
        <v>12</v>
      </c>
    </row>
    <row r="2211">
      <c r="A2211" s="2" t="s">
        <v>6</v>
      </c>
      <c r="B2211" s="2" t="s">
        <v>6</v>
      </c>
      <c r="C2211" s="2" t="s">
        <v>2254</v>
      </c>
      <c r="D2211" s="3" t="str">
        <f t="shared" si="268"/>
        <v>12Go Link</v>
      </c>
      <c r="E2211" s="2" t="s">
        <v>13</v>
      </c>
    </row>
    <row r="2212">
      <c r="A2212" s="2" t="s">
        <v>6</v>
      </c>
      <c r="B2212" s="2" t="s">
        <v>6</v>
      </c>
      <c r="C2212" s="2" t="s">
        <v>2254</v>
      </c>
      <c r="D2212" s="3" t="str">
        <f t="shared" si="268"/>
        <v>12Go Link</v>
      </c>
      <c r="E2212" s="2" t="s">
        <v>14</v>
      </c>
    </row>
    <row r="2213">
      <c r="A2213" s="2" t="s">
        <v>6</v>
      </c>
      <c r="B2213" s="2" t="s">
        <v>2110</v>
      </c>
      <c r="C2213" s="2" t="s">
        <v>2255</v>
      </c>
      <c r="D2213" s="3" t="str">
        <f t="shared" ref="D2213:D2215" si="269">HYPERLINK("https://12go.asia/en/travel/Tbilisi-Airport/Telavi-Hotel-Transfer", "12Go Link")</f>
        <v>12Go Link</v>
      </c>
      <c r="E2213" s="2" t="s">
        <v>12</v>
      </c>
    </row>
    <row r="2214">
      <c r="A2214" s="2" t="s">
        <v>6</v>
      </c>
      <c r="B2214" s="2" t="s">
        <v>2110</v>
      </c>
      <c r="C2214" s="2" t="s">
        <v>2255</v>
      </c>
      <c r="D2214" s="3" t="str">
        <f t="shared" si="269"/>
        <v>12Go Link</v>
      </c>
      <c r="E2214" s="2" t="s">
        <v>13</v>
      </c>
    </row>
    <row r="2215">
      <c r="A2215" s="2" t="s">
        <v>6</v>
      </c>
      <c r="B2215" s="2" t="s">
        <v>2110</v>
      </c>
      <c r="C2215" s="2" t="s">
        <v>2255</v>
      </c>
      <c r="D2215" s="3" t="str">
        <f t="shared" si="269"/>
        <v>12Go Link</v>
      </c>
      <c r="E2215" s="2" t="s">
        <v>14</v>
      </c>
    </row>
    <row r="2216">
      <c r="A2216" s="2" t="s">
        <v>6</v>
      </c>
      <c r="B2216" s="2" t="s">
        <v>2110</v>
      </c>
      <c r="C2216" s="2" t="s">
        <v>2256</v>
      </c>
      <c r="D2216" s="3" t="str">
        <f t="shared" ref="D2216:D2218" si="270">HYPERLINK("https://12go.asia/en/travel/Tbilisi-Hotel-Transfer/Telavi-Hotel-Transfer", "12Go Link")</f>
        <v>12Go Link</v>
      </c>
      <c r="E2216" s="2" t="s">
        <v>12</v>
      </c>
    </row>
    <row r="2217">
      <c r="A2217" s="2" t="s">
        <v>6</v>
      </c>
      <c r="B2217" s="2" t="s">
        <v>2110</v>
      </c>
      <c r="C2217" s="2" t="s">
        <v>2256</v>
      </c>
      <c r="D2217" s="3" t="str">
        <f t="shared" si="270"/>
        <v>12Go Link</v>
      </c>
      <c r="E2217" s="2" t="s">
        <v>13</v>
      </c>
    </row>
    <row r="2218">
      <c r="A2218" s="2" t="s">
        <v>6</v>
      </c>
      <c r="B2218" s="2" t="s">
        <v>2110</v>
      </c>
      <c r="C2218" s="2" t="s">
        <v>2256</v>
      </c>
      <c r="D2218" s="3" t="str">
        <f t="shared" si="270"/>
        <v>12Go Link</v>
      </c>
      <c r="E2218" s="2" t="s">
        <v>14</v>
      </c>
    </row>
    <row r="2219">
      <c r="A2219" s="2" t="s">
        <v>6</v>
      </c>
      <c r="B2219" s="2" t="s">
        <v>2113</v>
      </c>
      <c r="C2219" s="2" t="s">
        <v>2257</v>
      </c>
      <c r="D2219" s="3" t="str">
        <f t="shared" ref="D2219:D2221" si="271">HYPERLINK("https://12go.asia/en/travel/Tbilisi-Airport/Zugdidi-Hotel-Transfer", "12Go Link")</f>
        <v>12Go Link</v>
      </c>
      <c r="E2219" s="2" t="s">
        <v>12</v>
      </c>
    </row>
    <row r="2220">
      <c r="A2220" s="2" t="s">
        <v>6</v>
      </c>
      <c r="B2220" s="2" t="s">
        <v>2113</v>
      </c>
      <c r="C2220" s="2" t="s">
        <v>2257</v>
      </c>
      <c r="D2220" s="3" t="str">
        <f t="shared" si="271"/>
        <v>12Go Link</v>
      </c>
      <c r="E2220" s="2" t="s">
        <v>13</v>
      </c>
    </row>
    <row r="2221">
      <c r="A2221" s="2" t="s">
        <v>6</v>
      </c>
      <c r="B2221" s="2" t="s">
        <v>2113</v>
      </c>
      <c r="C2221" s="2" t="s">
        <v>2257</v>
      </c>
      <c r="D2221" s="3" t="str">
        <f t="shared" si="271"/>
        <v>12Go Link</v>
      </c>
      <c r="E2221" s="2" t="s">
        <v>14</v>
      </c>
    </row>
    <row r="2222">
      <c r="A2222" s="2" t="s">
        <v>6</v>
      </c>
      <c r="B2222" s="2" t="s">
        <v>2113</v>
      </c>
      <c r="C2222" s="2" t="s">
        <v>2258</v>
      </c>
      <c r="D2222" s="3" t="str">
        <f t="shared" ref="D2222:D2224" si="272">HYPERLINK("https://12go.asia/en/travel/Tbilisi-Hotel-Transfer/Zugdidi-Hotel-Transfer", "12Go Link")</f>
        <v>12Go Link</v>
      </c>
      <c r="E2222" s="2" t="s">
        <v>12</v>
      </c>
    </row>
    <row r="2223">
      <c r="A2223" s="2" t="s">
        <v>6</v>
      </c>
      <c r="B2223" s="2" t="s">
        <v>2113</v>
      </c>
      <c r="C2223" s="2" t="s">
        <v>2258</v>
      </c>
      <c r="D2223" s="3" t="str">
        <f t="shared" si="272"/>
        <v>12Go Link</v>
      </c>
      <c r="E2223" s="2" t="s">
        <v>13</v>
      </c>
    </row>
    <row r="2224">
      <c r="A2224" s="2" t="s">
        <v>6</v>
      </c>
      <c r="B2224" s="2" t="s">
        <v>2113</v>
      </c>
      <c r="C2224" s="2" t="s">
        <v>2258</v>
      </c>
      <c r="D2224" s="3" t="str">
        <f t="shared" si="272"/>
        <v>12Go Link</v>
      </c>
      <c r="E2224" s="2" t="s">
        <v>14</v>
      </c>
    </row>
    <row r="2225">
      <c r="A2225" s="2" t="s">
        <v>2110</v>
      </c>
      <c r="B2225" s="2" t="s">
        <v>10</v>
      </c>
      <c r="C2225" s="2" t="s">
        <v>2259</v>
      </c>
      <c r="D2225" s="3" t="str">
        <f t="shared" ref="D2225:D2227" si="273">HYPERLINK("https://12go.asia/en/travel/Telavi-Hotel-Transfer/Batumi-Airport", "12Go Link")</f>
        <v>12Go Link</v>
      </c>
      <c r="E2225" s="2" t="s">
        <v>12</v>
      </c>
    </row>
    <row r="2226">
      <c r="A2226" s="2" t="s">
        <v>2110</v>
      </c>
      <c r="B2226" s="2" t="s">
        <v>10</v>
      </c>
      <c r="C2226" s="2" t="s">
        <v>2259</v>
      </c>
      <c r="D2226" s="3" t="str">
        <f t="shared" si="273"/>
        <v>12Go Link</v>
      </c>
      <c r="E2226" s="2" t="s">
        <v>13</v>
      </c>
    </row>
    <row r="2227">
      <c r="A2227" s="2" t="s">
        <v>2110</v>
      </c>
      <c r="B2227" s="2" t="s">
        <v>10</v>
      </c>
      <c r="C2227" s="2" t="s">
        <v>2259</v>
      </c>
      <c r="D2227" s="3" t="str">
        <f t="shared" si="273"/>
        <v>12Go Link</v>
      </c>
      <c r="E2227" s="2" t="s">
        <v>14</v>
      </c>
    </row>
    <row r="2228">
      <c r="A2228" s="2" t="s">
        <v>2110</v>
      </c>
      <c r="B2228" s="2" t="s">
        <v>10</v>
      </c>
      <c r="C2228" s="2" t="s">
        <v>2260</v>
      </c>
      <c r="D2228" s="3" t="str">
        <f t="shared" ref="D2228:D2230" si="274">HYPERLINK("https://12go.asia/en/travel/Telavi-Hotel-Transfer/Batumi-Hotel-Transfer", "12Go Link")</f>
        <v>12Go Link</v>
      </c>
      <c r="E2228" s="2" t="s">
        <v>12</v>
      </c>
    </row>
    <row r="2229">
      <c r="A2229" s="2" t="s">
        <v>2110</v>
      </c>
      <c r="B2229" s="2" t="s">
        <v>10</v>
      </c>
      <c r="C2229" s="2" t="s">
        <v>2260</v>
      </c>
      <c r="D2229" s="3" t="str">
        <f t="shared" si="274"/>
        <v>12Go Link</v>
      </c>
      <c r="E2229" s="2" t="s">
        <v>13</v>
      </c>
    </row>
    <row r="2230">
      <c r="A2230" s="2" t="s">
        <v>2110</v>
      </c>
      <c r="B2230" s="2" t="s">
        <v>10</v>
      </c>
      <c r="C2230" s="2" t="s">
        <v>2260</v>
      </c>
      <c r="D2230" s="3" t="str">
        <f t="shared" si="274"/>
        <v>12Go Link</v>
      </c>
      <c r="E2230" s="2" t="s">
        <v>14</v>
      </c>
    </row>
    <row r="2231">
      <c r="A2231" s="2" t="s">
        <v>2110</v>
      </c>
      <c r="B2231" s="2" t="s">
        <v>16</v>
      </c>
      <c r="C2231" s="2" t="s">
        <v>2261</v>
      </c>
      <c r="D2231" s="3" t="str">
        <f t="shared" ref="D2231:D2233" si="275">HYPERLINK("https://12go.asia/en/travel/Telavi-Hotel-Transfer/Kutaisi-Airport", "12Go Link")</f>
        <v>12Go Link</v>
      </c>
      <c r="E2231" s="2" t="s">
        <v>12</v>
      </c>
    </row>
    <row r="2232">
      <c r="A2232" s="2" t="s">
        <v>2110</v>
      </c>
      <c r="B2232" s="2" t="s">
        <v>16</v>
      </c>
      <c r="C2232" s="2" t="s">
        <v>2261</v>
      </c>
      <c r="D2232" s="3" t="str">
        <f t="shared" si="275"/>
        <v>12Go Link</v>
      </c>
      <c r="E2232" s="2" t="s">
        <v>13</v>
      </c>
    </row>
    <row r="2233">
      <c r="A2233" s="2" t="s">
        <v>2110</v>
      </c>
      <c r="B2233" s="2" t="s">
        <v>16</v>
      </c>
      <c r="C2233" s="2" t="s">
        <v>2261</v>
      </c>
      <c r="D2233" s="3" t="str">
        <f t="shared" si="275"/>
        <v>12Go Link</v>
      </c>
      <c r="E2233" s="2" t="s">
        <v>14</v>
      </c>
    </row>
    <row r="2234">
      <c r="A2234" s="2" t="s">
        <v>2110</v>
      </c>
      <c r="B2234" s="2" t="s">
        <v>16</v>
      </c>
      <c r="C2234" s="2" t="s">
        <v>2262</v>
      </c>
      <c r="D2234" s="3" t="str">
        <f t="shared" ref="D2234:D2236" si="276">HYPERLINK("https://12go.asia/en/travel/Telavi-Hotel-Transfer/Kutaisi-Hotel-Transfer", "12Go Link")</f>
        <v>12Go Link</v>
      </c>
      <c r="E2234" s="2" t="s">
        <v>12</v>
      </c>
    </row>
    <row r="2235">
      <c r="A2235" s="2" t="s">
        <v>2110</v>
      </c>
      <c r="B2235" s="2" t="s">
        <v>16</v>
      </c>
      <c r="C2235" s="2" t="s">
        <v>2262</v>
      </c>
      <c r="D2235" s="3" t="str">
        <f t="shared" si="276"/>
        <v>12Go Link</v>
      </c>
      <c r="E2235" s="2" t="s">
        <v>13</v>
      </c>
    </row>
    <row r="2236">
      <c r="A2236" s="2" t="s">
        <v>2110</v>
      </c>
      <c r="B2236" s="2" t="s">
        <v>16</v>
      </c>
      <c r="C2236" s="2" t="s">
        <v>2262</v>
      </c>
      <c r="D2236" s="3" t="str">
        <f t="shared" si="276"/>
        <v>12Go Link</v>
      </c>
      <c r="E2236" s="2" t="s">
        <v>14</v>
      </c>
    </row>
    <row r="2237">
      <c r="A2237" s="2" t="s">
        <v>2110</v>
      </c>
      <c r="B2237" s="2" t="s">
        <v>6</v>
      </c>
      <c r="C2237" s="2" t="s">
        <v>2263</v>
      </c>
      <c r="D2237" s="3" t="str">
        <f t="shared" ref="D2237:D2239" si="277">HYPERLINK("https://12go.asia/en/travel/Telavi-Hotel-Transfer/Tbilisi-Airport", "12Go Link")</f>
        <v>12Go Link</v>
      </c>
      <c r="E2237" s="2" t="s">
        <v>12</v>
      </c>
    </row>
    <row r="2238">
      <c r="A2238" s="2" t="s">
        <v>2110</v>
      </c>
      <c r="B2238" s="2" t="s">
        <v>6</v>
      </c>
      <c r="C2238" s="2" t="s">
        <v>2263</v>
      </c>
      <c r="D2238" s="3" t="str">
        <f t="shared" si="277"/>
        <v>12Go Link</v>
      </c>
      <c r="E2238" s="2" t="s">
        <v>13</v>
      </c>
    </row>
    <row r="2239">
      <c r="A2239" s="2" t="s">
        <v>2110</v>
      </c>
      <c r="B2239" s="2" t="s">
        <v>6</v>
      </c>
      <c r="C2239" s="2" t="s">
        <v>2263</v>
      </c>
      <c r="D2239" s="3" t="str">
        <f t="shared" si="277"/>
        <v>12Go Link</v>
      </c>
      <c r="E2239" s="2" t="s">
        <v>14</v>
      </c>
    </row>
    <row r="2240">
      <c r="A2240" s="2" t="s">
        <v>2110</v>
      </c>
      <c r="B2240" s="2" t="s">
        <v>6</v>
      </c>
      <c r="C2240" s="2" t="s">
        <v>2264</v>
      </c>
      <c r="D2240" s="3" t="str">
        <f t="shared" ref="D2240:D2242" si="278">HYPERLINK("https://12go.asia/en/travel/Telavi-Hotel-Transfer/Tbilisi-Hotel-Transfer", "12Go Link")</f>
        <v>12Go Link</v>
      </c>
      <c r="E2240" s="2" t="s">
        <v>12</v>
      </c>
    </row>
    <row r="2241">
      <c r="A2241" s="2" t="s">
        <v>2110</v>
      </c>
      <c r="B2241" s="2" t="s">
        <v>6</v>
      </c>
      <c r="C2241" s="2" t="s">
        <v>2264</v>
      </c>
      <c r="D2241" s="3" t="str">
        <f t="shared" si="278"/>
        <v>12Go Link</v>
      </c>
      <c r="E2241" s="2" t="s">
        <v>13</v>
      </c>
    </row>
    <row r="2242">
      <c r="A2242" s="2" t="s">
        <v>2110</v>
      </c>
      <c r="B2242" s="2" t="s">
        <v>6</v>
      </c>
      <c r="C2242" s="2" t="s">
        <v>2264</v>
      </c>
      <c r="D2242" s="3" t="str">
        <f t="shared" si="278"/>
        <v>12Go Link</v>
      </c>
      <c r="E2242" s="2" t="s">
        <v>14</v>
      </c>
    </row>
    <row r="2243">
      <c r="A2243" s="2" t="s">
        <v>2113</v>
      </c>
      <c r="B2243" s="2" t="s">
        <v>10</v>
      </c>
      <c r="C2243" s="2" t="s">
        <v>2265</v>
      </c>
      <c r="D2243" s="3" t="str">
        <f t="shared" ref="D2243:D2245" si="279">HYPERLINK("https://12go.asia/en/travel/Zugdidi-Hotel-Transfer/Batumi-Airport", "12Go Link")</f>
        <v>12Go Link</v>
      </c>
      <c r="E2243" s="2" t="s">
        <v>12</v>
      </c>
    </row>
    <row r="2244">
      <c r="A2244" s="2" t="s">
        <v>2113</v>
      </c>
      <c r="B2244" s="2" t="s">
        <v>10</v>
      </c>
      <c r="C2244" s="2" t="s">
        <v>2265</v>
      </c>
      <c r="D2244" s="3" t="str">
        <f t="shared" si="279"/>
        <v>12Go Link</v>
      </c>
      <c r="E2244" s="2" t="s">
        <v>13</v>
      </c>
    </row>
    <row r="2245">
      <c r="A2245" s="2" t="s">
        <v>2113</v>
      </c>
      <c r="B2245" s="2" t="s">
        <v>10</v>
      </c>
      <c r="C2245" s="2" t="s">
        <v>2265</v>
      </c>
      <c r="D2245" s="3" t="str">
        <f t="shared" si="279"/>
        <v>12Go Link</v>
      </c>
      <c r="E2245" s="2" t="s">
        <v>14</v>
      </c>
    </row>
    <row r="2246">
      <c r="A2246" s="2" t="s">
        <v>2113</v>
      </c>
      <c r="B2246" s="2" t="s">
        <v>10</v>
      </c>
      <c r="C2246" s="2" t="s">
        <v>2266</v>
      </c>
      <c r="D2246" s="3" t="str">
        <f t="shared" ref="D2246:D2248" si="280">HYPERLINK("https://12go.asia/en/travel/Zugdidi-Hotel-Transfer/Batumi-Hotel-Transfer", "12Go Link")</f>
        <v>12Go Link</v>
      </c>
      <c r="E2246" s="2" t="s">
        <v>12</v>
      </c>
    </row>
    <row r="2247">
      <c r="A2247" s="2" t="s">
        <v>2113</v>
      </c>
      <c r="B2247" s="2" t="s">
        <v>10</v>
      </c>
      <c r="C2247" s="2" t="s">
        <v>2266</v>
      </c>
      <c r="D2247" s="3" t="str">
        <f t="shared" si="280"/>
        <v>12Go Link</v>
      </c>
      <c r="E2247" s="2" t="s">
        <v>13</v>
      </c>
    </row>
    <row r="2248">
      <c r="A2248" s="2" t="s">
        <v>2113</v>
      </c>
      <c r="B2248" s="2" t="s">
        <v>10</v>
      </c>
      <c r="C2248" s="2" t="s">
        <v>2266</v>
      </c>
      <c r="D2248" s="3" t="str">
        <f t="shared" si="280"/>
        <v>12Go Link</v>
      </c>
      <c r="E2248" s="2" t="s">
        <v>14</v>
      </c>
    </row>
    <row r="2249">
      <c r="A2249" s="2" t="s">
        <v>2113</v>
      </c>
      <c r="B2249" s="2" t="s">
        <v>16</v>
      </c>
      <c r="C2249" s="2" t="s">
        <v>2267</v>
      </c>
      <c r="D2249" s="3" t="str">
        <f t="shared" ref="D2249:D2251" si="281">HYPERLINK("https://12go.asia/en/travel/Zugdidi-Hotel-Transfer/Kutaisi-Airport", "12Go Link")</f>
        <v>12Go Link</v>
      </c>
      <c r="E2249" s="2" t="s">
        <v>12</v>
      </c>
    </row>
    <row r="2250">
      <c r="A2250" s="2" t="s">
        <v>2113</v>
      </c>
      <c r="B2250" s="2" t="s">
        <v>16</v>
      </c>
      <c r="C2250" s="2" t="s">
        <v>2267</v>
      </c>
      <c r="D2250" s="3" t="str">
        <f t="shared" si="281"/>
        <v>12Go Link</v>
      </c>
      <c r="E2250" s="2" t="s">
        <v>13</v>
      </c>
    </row>
    <row r="2251">
      <c r="A2251" s="2" t="s">
        <v>2113</v>
      </c>
      <c r="B2251" s="2" t="s">
        <v>16</v>
      </c>
      <c r="C2251" s="2" t="s">
        <v>2267</v>
      </c>
      <c r="D2251" s="3" t="str">
        <f t="shared" si="281"/>
        <v>12Go Link</v>
      </c>
      <c r="E2251" s="2" t="s">
        <v>14</v>
      </c>
    </row>
    <row r="2252">
      <c r="A2252" s="2" t="s">
        <v>2113</v>
      </c>
      <c r="B2252" s="2" t="s">
        <v>16</v>
      </c>
      <c r="C2252" s="2" t="s">
        <v>2268</v>
      </c>
      <c r="D2252" s="3" t="str">
        <f t="shared" ref="D2252:D2254" si="282">HYPERLINK("https://12go.asia/en/travel/Zugdidi-Hotel-Transfer/Kutaisi-Hotel-Transfer", "12Go Link")</f>
        <v>12Go Link</v>
      </c>
      <c r="E2252" s="2" t="s">
        <v>12</v>
      </c>
    </row>
    <row r="2253">
      <c r="A2253" s="2" t="s">
        <v>2113</v>
      </c>
      <c r="B2253" s="2" t="s">
        <v>16</v>
      </c>
      <c r="C2253" s="2" t="s">
        <v>2268</v>
      </c>
      <c r="D2253" s="3" t="str">
        <f t="shared" si="282"/>
        <v>12Go Link</v>
      </c>
      <c r="E2253" s="2" t="s">
        <v>13</v>
      </c>
    </row>
    <row r="2254">
      <c r="A2254" s="2" t="s">
        <v>2113</v>
      </c>
      <c r="B2254" s="2" t="s">
        <v>16</v>
      </c>
      <c r="C2254" s="2" t="s">
        <v>2268</v>
      </c>
      <c r="D2254" s="3" t="str">
        <f t="shared" si="282"/>
        <v>12Go Link</v>
      </c>
      <c r="E2254" s="2" t="s">
        <v>14</v>
      </c>
    </row>
    <row r="2255">
      <c r="A2255" s="2" t="s">
        <v>2113</v>
      </c>
      <c r="B2255" s="2" t="s">
        <v>6</v>
      </c>
      <c r="C2255" s="2" t="s">
        <v>2269</v>
      </c>
      <c r="D2255" s="3" t="str">
        <f t="shared" ref="D2255:D2257" si="283">HYPERLINK("https://12go.asia/en/travel/Zugdidi-Hotel-Transfer/Tbilisi-Airport", "12Go Link")</f>
        <v>12Go Link</v>
      </c>
      <c r="E2255" s="2" t="s">
        <v>12</v>
      </c>
    </row>
    <row r="2256">
      <c r="A2256" s="2" t="s">
        <v>2113</v>
      </c>
      <c r="B2256" s="2" t="s">
        <v>6</v>
      </c>
      <c r="C2256" s="2" t="s">
        <v>2269</v>
      </c>
      <c r="D2256" s="3" t="str">
        <f t="shared" si="283"/>
        <v>12Go Link</v>
      </c>
      <c r="E2256" s="2" t="s">
        <v>13</v>
      </c>
    </row>
    <row r="2257">
      <c r="A2257" s="2" t="s">
        <v>2113</v>
      </c>
      <c r="B2257" s="2" t="s">
        <v>6</v>
      </c>
      <c r="C2257" s="2" t="s">
        <v>2269</v>
      </c>
      <c r="D2257" s="3" t="str">
        <f t="shared" si="283"/>
        <v>12Go Link</v>
      </c>
      <c r="E2257" s="2" t="s">
        <v>14</v>
      </c>
    </row>
    <row r="2258">
      <c r="A2258" s="2" t="s">
        <v>2113</v>
      </c>
      <c r="B2258" s="2" t="s">
        <v>6</v>
      </c>
      <c r="C2258" s="2" t="s">
        <v>2270</v>
      </c>
      <c r="D2258" s="3" t="str">
        <f t="shared" ref="D2258:D2260" si="284">HYPERLINK("https://12go.asia/en/travel/Zugdidi-Hotel-Transfer/Tbilisi-Hotel-Transfer", "12Go Link")</f>
        <v>12Go Link</v>
      </c>
      <c r="E2258" s="2" t="s">
        <v>12</v>
      </c>
    </row>
    <row r="2259">
      <c r="A2259" s="2" t="s">
        <v>2113</v>
      </c>
      <c r="B2259" s="2" t="s">
        <v>6</v>
      </c>
      <c r="C2259" s="2" t="s">
        <v>2270</v>
      </c>
      <c r="D2259" s="3" t="str">
        <f t="shared" si="284"/>
        <v>12Go Link</v>
      </c>
      <c r="E2259" s="2" t="s">
        <v>13</v>
      </c>
    </row>
    <row r="2260">
      <c r="A2260" s="2" t="s">
        <v>2113</v>
      </c>
      <c r="B2260" s="2" t="s">
        <v>6</v>
      </c>
      <c r="C2260" s="2" t="s">
        <v>2270</v>
      </c>
      <c r="D2260" s="3" t="str">
        <f t="shared" si="284"/>
        <v>12Go Link</v>
      </c>
      <c r="E2260" s="2" t="s">
        <v>14</v>
      </c>
    </row>
    <row r="2261">
      <c r="A2261" s="2" t="s">
        <v>1122</v>
      </c>
      <c r="B2261" s="2" t="s">
        <v>1046</v>
      </c>
      <c r="C2261" s="2" t="s">
        <v>2271</v>
      </c>
      <c r="D2261" s="3" t="str">
        <f>HYPERLINK("https://12go.asia/en/travel/hong-kong/jishou", "12Go Link")</f>
        <v>12Go Link</v>
      </c>
      <c r="E2261" s="2" t="s">
        <v>77</v>
      </c>
    </row>
    <row r="2262">
      <c r="A2262" s="2" t="s">
        <v>1271</v>
      </c>
      <c r="B2262" s="2" t="s">
        <v>728</v>
      </c>
      <c r="C2262" s="2" t="s">
        <v>2272</v>
      </c>
      <c r="D2262" s="3" t="str">
        <f>HYPERLINK("https://12go.asia/en/travel/kowloon/jiangxia", "12Go Link")</f>
        <v>12Go Link</v>
      </c>
      <c r="E2262" s="2" t="s">
        <v>77</v>
      </c>
    </row>
    <row r="2263">
      <c r="A2263" s="2" t="s">
        <v>1271</v>
      </c>
      <c r="B2263" s="2" t="s">
        <v>796</v>
      </c>
      <c r="C2263" s="2" t="s">
        <v>2273</v>
      </c>
      <c r="D2263" s="3" t="str">
        <f>HYPERLINK("https://12go.asia/en/travel/kowloon/zengcheng", "12Go Link")</f>
        <v>12Go Link</v>
      </c>
      <c r="E2263" s="2" t="s">
        <v>77</v>
      </c>
    </row>
    <row r="2264">
      <c r="A2264" s="2" t="s">
        <v>2274</v>
      </c>
      <c r="B2264" s="2" t="s">
        <v>2275</v>
      </c>
      <c r="C2264" s="2" t="s">
        <v>2276</v>
      </c>
      <c r="D2264" s="3" t="str">
        <f>HYPERLINK("https://12go.asia/en/travel/abhaneri/khajuraho", "12Go Link")</f>
        <v>12Go Link</v>
      </c>
      <c r="E2264" s="2" t="s">
        <v>77</v>
      </c>
    </row>
    <row r="2265">
      <c r="A2265" s="2" t="s">
        <v>2274</v>
      </c>
      <c r="B2265" s="2" t="s">
        <v>2277</v>
      </c>
      <c r="C2265" s="2" t="s">
        <v>2278</v>
      </c>
      <c r="D2265" s="3" t="str">
        <f t="shared" ref="D2265:D2266" si="285">HYPERLINK("https://12go.asia/en/travel/abhaneri/sikandra-agra", "12Go Link")</f>
        <v>12Go Link</v>
      </c>
      <c r="E2265" s="2" t="s">
        <v>77</v>
      </c>
    </row>
    <row r="2266">
      <c r="A2266" s="2" t="s">
        <v>2274</v>
      </c>
      <c r="B2266" s="2" t="s">
        <v>2277</v>
      </c>
      <c r="C2266" s="2" t="s">
        <v>2278</v>
      </c>
      <c r="D2266" s="3" t="str">
        <f t="shared" si="285"/>
        <v>12Go Link</v>
      </c>
      <c r="E2266" s="2" t="s">
        <v>25</v>
      </c>
    </row>
    <row r="2267">
      <c r="A2267" s="2" t="s">
        <v>2274</v>
      </c>
      <c r="B2267" s="2" t="s">
        <v>2279</v>
      </c>
      <c r="C2267" s="2" t="s">
        <v>2280</v>
      </c>
      <c r="D2267" s="3" t="str">
        <f>HYPERLINK("https://12go.asia/en/travel/abhaneri/vrindavan", "12Go Link")</f>
        <v>12Go Link</v>
      </c>
      <c r="E2267" s="2" t="s">
        <v>77</v>
      </c>
    </row>
    <row r="2268">
      <c r="A2268" s="2" t="s">
        <v>2281</v>
      </c>
      <c r="B2268" s="2" t="s">
        <v>2282</v>
      </c>
      <c r="C2268" s="2" t="s">
        <v>2283</v>
      </c>
      <c r="D2268" s="3" t="str">
        <f>HYPERLINK("https://12go.asia/en/travel/agra-cantt/ayodhya", "12Go Link")</f>
        <v>12Go Link</v>
      </c>
      <c r="E2268" s="2" t="s">
        <v>77</v>
      </c>
    </row>
    <row r="2269">
      <c r="A2269" s="2" t="s">
        <v>2281</v>
      </c>
      <c r="B2269" s="2" t="s">
        <v>2284</v>
      </c>
      <c r="C2269" s="2" t="s">
        <v>2285</v>
      </c>
      <c r="D2269" s="3" t="str">
        <f>HYPERLINK("https://12go.asia/en/travel/agra-cantt/badshahnagar", "12Go Link")</f>
        <v>12Go Link</v>
      </c>
      <c r="E2269" s="2" t="s">
        <v>77</v>
      </c>
    </row>
    <row r="2270">
      <c r="A2270" s="2" t="s">
        <v>2281</v>
      </c>
      <c r="B2270" s="2" t="s">
        <v>2286</v>
      </c>
      <c r="C2270" s="2" t="s">
        <v>2287</v>
      </c>
      <c r="D2270" s="3" t="str">
        <f>HYPERLINK("https://12go.asia/en/travel/agra-cantt/bathinda", "12Go Link")</f>
        <v>12Go Link</v>
      </c>
      <c r="E2270" s="2" t="s">
        <v>77</v>
      </c>
    </row>
    <row r="2271">
      <c r="A2271" s="2" t="s">
        <v>2281</v>
      </c>
      <c r="B2271" s="2" t="s">
        <v>2286</v>
      </c>
      <c r="C2271" s="2" t="s">
        <v>2288</v>
      </c>
      <c r="D2271" s="3" t="str">
        <f>HYPERLINK("https://12go.asia/en/travel/agra/bathinda", "12Go Link")</f>
        <v>12Go Link</v>
      </c>
      <c r="E2271" s="2" t="s">
        <v>77</v>
      </c>
    </row>
    <row r="2272">
      <c r="A2272" s="2" t="s">
        <v>2281</v>
      </c>
      <c r="B2272" s="2" t="s">
        <v>2289</v>
      </c>
      <c r="C2272" s="2" t="s">
        <v>2290</v>
      </c>
      <c r="D2272" s="3" t="str">
        <f>HYPERLINK("https://12go.asia/en/travel/agra-cantt/sabzi-mandi", "12Go Link")</f>
        <v>12Go Link</v>
      </c>
      <c r="E2272" s="2" t="s">
        <v>77</v>
      </c>
    </row>
    <row r="2273">
      <c r="A2273" s="2" t="s">
        <v>2281</v>
      </c>
      <c r="B2273" s="2" t="s">
        <v>2291</v>
      </c>
      <c r="C2273" s="2" t="s">
        <v>2292</v>
      </c>
      <c r="D2273" s="3" t="str">
        <f>HYPERLINK("https://12go.asia/en/travel/agra-fort/ayodhya-cantt", "12Go Link")</f>
        <v>12Go Link</v>
      </c>
      <c r="E2273" s="2" t="s">
        <v>77</v>
      </c>
    </row>
    <row r="2274">
      <c r="A2274" s="2" t="s">
        <v>2281</v>
      </c>
      <c r="B2274" s="2" t="s">
        <v>2293</v>
      </c>
      <c r="C2274" s="2" t="s">
        <v>2294</v>
      </c>
      <c r="D2274" s="3" t="str">
        <f>HYPERLINK("https://12go.asia/en/travel/agra-cantt/jajpur-k-road", "12Go Link")</f>
        <v>12Go Link</v>
      </c>
      <c r="E2274" s="2" t="s">
        <v>77</v>
      </c>
    </row>
    <row r="2275">
      <c r="A2275" s="2" t="s">
        <v>2281</v>
      </c>
      <c r="B2275" s="2" t="s">
        <v>2293</v>
      </c>
      <c r="C2275" s="2" t="s">
        <v>2295</v>
      </c>
      <c r="D2275" s="3" t="str">
        <f>HYPERLINK("https://12go.asia/en/travel/agra/jajpur-k-road", "12Go Link")</f>
        <v>12Go Link</v>
      </c>
      <c r="E2275" s="2" t="s">
        <v>77</v>
      </c>
    </row>
    <row r="2276">
      <c r="A2276" s="2" t="s">
        <v>2281</v>
      </c>
      <c r="B2276" s="2" t="s">
        <v>2296</v>
      </c>
      <c r="C2276" s="2" t="s">
        <v>2297</v>
      </c>
      <c r="D2276" s="3" t="str">
        <f>HYPERLINK("https://12go.asia/en/travel/agra-cantt/mahesana-junction", "12Go Link")</f>
        <v>12Go Link</v>
      </c>
      <c r="E2276" s="2" t="s">
        <v>77</v>
      </c>
    </row>
    <row r="2277">
      <c r="A2277" s="2" t="s">
        <v>2281</v>
      </c>
      <c r="B2277" s="2" t="s">
        <v>2296</v>
      </c>
      <c r="C2277" s="2" t="s">
        <v>2298</v>
      </c>
      <c r="D2277" s="3" t="str">
        <f t="shared" ref="D2277:D2278" si="286">HYPERLINK("https://12go.asia/en/travel/agra/mehsana", "12Go Link")</f>
        <v>12Go Link</v>
      </c>
      <c r="E2277" s="2" t="s">
        <v>77</v>
      </c>
    </row>
    <row r="2278">
      <c r="A2278" s="2" t="s">
        <v>2281</v>
      </c>
      <c r="B2278" s="2" t="s">
        <v>2296</v>
      </c>
      <c r="C2278" s="2" t="s">
        <v>2298</v>
      </c>
      <c r="D2278" s="3" t="str">
        <f t="shared" si="286"/>
        <v>12Go Link</v>
      </c>
      <c r="E2278" s="2" t="s">
        <v>25</v>
      </c>
    </row>
    <row r="2279">
      <c r="A2279" s="2" t="s">
        <v>2281</v>
      </c>
      <c r="B2279" s="2" t="s">
        <v>2299</v>
      </c>
      <c r="C2279" s="2" t="s">
        <v>2300</v>
      </c>
      <c r="D2279" s="3" t="str">
        <f>HYPERLINK("https://12go.asia/en/travel/agra-cantt/ongole", "12Go Link")</f>
        <v>12Go Link</v>
      </c>
      <c r="E2279" s="2" t="s">
        <v>77</v>
      </c>
    </row>
    <row r="2280">
      <c r="A2280" s="2" t="s">
        <v>2281</v>
      </c>
      <c r="B2280" s="2" t="s">
        <v>2299</v>
      </c>
      <c r="C2280" s="2" t="s">
        <v>2301</v>
      </c>
      <c r="D2280" s="3" t="str">
        <f>HYPERLINK("https://12go.asia/en/travel/agra/ongole", "12Go Link")</f>
        <v>12Go Link</v>
      </c>
      <c r="E2280" s="2" t="s">
        <v>77</v>
      </c>
    </row>
    <row r="2281">
      <c r="A2281" s="2" t="s">
        <v>2281</v>
      </c>
      <c r="B2281" s="2" t="s">
        <v>2302</v>
      </c>
      <c r="C2281" s="2" t="s">
        <v>2303</v>
      </c>
      <c r="D2281" s="3" t="str">
        <f>HYPERLINK("https://12go.asia/en/travel/agra-cantt/patiala", "12Go Link")</f>
        <v>12Go Link</v>
      </c>
      <c r="E2281" s="2" t="s">
        <v>77</v>
      </c>
    </row>
    <row r="2282">
      <c r="A2282" s="2" t="s">
        <v>2281</v>
      </c>
      <c r="B2282" s="2" t="s">
        <v>2302</v>
      </c>
      <c r="C2282" s="2" t="s">
        <v>2304</v>
      </c>
      <c r="D2282" s="3" t="str">
        <f>HYPERLINK("https://12go.asia/en/travel/agra/patiala", "12Go Link")</f>
        <v>12Go Link</v>
      </c>
      <c r="E2282" s="2" t="s">
        <v>77</v>
      </c>
    </row>
    <row r="2283">
      <c r="A2283" s="2" t="s">
        <v>2281</v>
      </c>
      <c r="B2283" s="2" t="s">
        <v>2305</v>
      </c>
      <c r="C2283" s="2" t="s">
        <v>2306</v>
      </c>
      <c r="D2283" s="3" t="str">
        <f>HYPERLINK("https://12go.asia/en/travel/agra-cantt/ramagundam", "12Go Link")</f>
        <v>12Go Link</v>
      </c>
      <c r="E2283" s="2" t="s">
        <v>77</v>
      </c>
    </row>
    <row r="2284">
      <c r="A2284" s="2" t="s">
        <v>2281</v>
      </c>
      <c r="B2284" s="2" t="s">
        <v>2305</v>
      </c>
      <c r="C2284" s="2" t="s">
        <v>2307</v>
      </c>
      <c r="D2284" s="3" t="str">
        <f>HYPERLINK("https://12go.asia/en/travel/agra/ramagundam", "12Go Link")</f>
        <v>12Go Link</v>
      </c>
      <c r="E2284" s="2" t="s">
        <v>77</v>
      </c>
    </row>
    <row r="2285">
      <c r="A2285" s="2" t="s">
        <v>2281</v>
      </c>
      <c r="B2285" s="2" t="s">
        <v>2308</v>
      </c>
      <c r="C2285" s="2" t="s">
        <v>2309</v>
      </c>
      <c r="D2285" s="3" t="str">
        <f>HYPERLINK("https://12go.asia/en/travel/agra-cantt/sangli", "12Go Link")</f>
        <v>12Go Link</v>
      </c>
      <c r="E2285" s="2" t="s">
        <v>77</v>
      </c>
    </row>
    <row r="2286">
      <c r="A2286" s="2" t="s">
        <v>2281</v>
      </c>
      <c r="B2286" s="2" t="s">
        <v>2308</v>
      </c>
      <c r="C2286" s="2" t="s">
        <v>2310</v>
      </c>
      <c r="D2286" s="3" t="str">
        <f>HYPERLINK("https://12go.asia/en/travel/agra/sangli", "12Go Link")</f>
        <v>12Go Link</v>
      </c>
      <c r="E2286" s="2" t="s">
        <v>77</v>
      </c>
    </row>
    <row r="2287">
      <c r="A2287" s="2" t="s">
        <v>2281</v>
      </c>
      <c r="B2287" s="2" t="s">
        <v>2277</v>
      </c>
      <c r="C2287" s="2" t="s">
        <v>2311</v>
      </c>
      <c r="D2287" s="3" t="str">
        <f>HYPERLINK("https://12go.asia/en/travel/agra/sikandra-agra", "12Go Link")</f>
        <v>12Go Link</v>
      </c>
      <c r="E2287" s="2" t="s">
        <v>77</v>
      </c>
    </row>
    <row r="2288">
      <c r="A2288" s="2" t="s">
        <v>2312</v>
      </c>
      <c r="B2288" s="2" t="s">
        <v>2313</v>
      </c>
      <c r="C2288" s="2" t="s">
        <v>2314</v>
      </c>
      <c r="D2288" s="3" t="str">
        <f>HYPERLINK("https://12go.asia/en/travel/ahmadnagar/aurangabad", "12Go Link")</f>
        <v>12Go Link</v>
      </c>
      <c r="E2288" s="2" t="s">
        <v>77</v>
      </c>
    </row>
    <row r="2289">
      <c r="A2289" s="2" t="s">
        <v>2312</v>
      </c>
      <c r="B2289" s="2" t="s">
        <v>2315</v>
      </c>
      <c r="C2289" s="2" t="s">
        <v>2316</v>
      </c>
      <c r="D2289" s="3" t="str">
        <f>HYPERLINK("https://12go.asia/en/travel/ahmadnagar/jhansi", "12Go Link")</f>
        <v>12Go Link</v>
      </c>
      <c r="E2289" s="2" t="s">
        <v>77</v>
      </c>
    </row>
    <row r="2290">
      <c r="A2290" s="2" t="s">
        <v>2312</v>
      </c>
      <c r="B2290" s="2" t="s">
        <v>2315</v>
      </c>
      <c r="C2290" s="2" t="s">
        <v>2317</v>
      </c>
      <c r="D2290" s="3" t="str">
        <f>HYPERLINK("https://12go.asia/en/travel/ahmadnagar/virangana-lakshmibai", "12Go Link")</f>
        <v>12Go Link</v>
      </c>
      <c r="E2290" s="2" t="s">
        <v>77</v>
      </c>
    </row>
    <row r="2291">
      <c r="A2291" s="2" t="s">
        <v>2312</v>
      </c>
      <c r="B2291" s="2" t="s">
        <v>2318</v>
      </c>
      <c r="C2291" s="2" t="s">
        <v>2319</v>
      </c>
      <c r="D2291" s="3" t="str">
        <f>HYPERLINK("https://12go.asia/en/travel/ahmadnagar/kurduvadi", "12Go Link")</f>
        <v>12Go Link</v>
      </c>
      <c r="E2291" s="2" t="s">
        <v>77</v>
      </c>
    </row>
    <row r="2292">
      <c r="A2292" s="2" t="s">
        <v>2312</v>
      </c>
      <c r="B2292" s="2" t="s">
        <v>2320</v>
      </c>
      <c r="C2292" s="2" t="s">
        <v>2321</v>
      </c>
      <c r="D2292" s="3" t="str">
        <f>HYPERLINK("https://12go.asia/en/travel/ahmadnagar/parbhani", "12Go Link")</f>
        <v>12Go Link</v>
      </c>
      <c r="E2292" s="2" t="s">
        <v>77</v>
      </c>
    </row>
    <row r="2293">
      <c r="A2293" s="2" t="s">
        <v>2312</v>
      </c>
      <c r="B2293" s="2" t="s">
        <v>2320</v>
      </c>
      <c r="C2293" s="2" t="s">
        <v>2322</v>
      </c>
      <c r="D2293" s="3" t="str">
        <f>HYPERLINK("https://12go.asia/en/travel/ahmadnagar/parbhani-junction", "12Go Link")</f>
        <v>12Go Link</v>
      </c>
      <c r="E2293" s="2" t="s">
        <v>77</v>
      </c>
    </row>
    <row r="2294">
      <c r="A2294" s="2" t="s">
        <v>2312</v>
      </c>
      <c r="B2294" s="2" t="s">
        <v>2323</v>
      </c>
      <c r="C2294" s="2" t="s">
        <v>2324</v>
      </c>
      <c r="D2294" s="3" t="str">
        <f>HYPERLINK("https://12go.asia/en/travel/ahmadnagar/sevagram", "12Go Link")</f>
        <v>12Go Link</v>
      </c>
      <c r="E2294" s="2" t="s">
        <v>77</v>
      </c>
    </row>
    <row r="2295">
      <c r="A2295" s="2" t="s">
        <v>2312</v>
      </c>
      <c r="B2295" s="2" t="s">
        <v>2325</v>
      </c>
      <c r="C2295" s="2" t="s">
        <v>2326</v>
      </c>
      <c r="D2295" s="3" t="str">
        <f>HYPERLINK("https://12go.asia/en/travel/ahmadnagar/shegaon", "12Go Link")</f>
        <v>12Go Link</v>
      </c>
      <c r="E2295" s="2" t="s">
        <v>77</v>
      </c>
    </row>
    <row r="2296">
      <c r="A2296" s="2" t="s">
        <v>2312</v>
      </c>
      <c r="B2296" s="2" t="s">
        <v>2327</v>
      </c>
      <c r="C2296" s="2" t="s">
        <v>2328</v>
      </c>
      <c r="D2296" s="3" t="str">
        <f>HYPERLINK("https://12go.asia/en/travel/ahmadnagar/wardha", "12Go Link")</f>
        <v>12Go Link</v>
      </c>
      <c r="E2296" s="2" t="s">
        <v>77</v>
      </c>
    </row>
    <row r="2297">
      <c r="A2297" s="2" t="s">
        <v>2312</v>
      </c>
      <c r="B2297" s="2" t="s">
        <v>2327</v>
      </c>
      <c r="C2297" s="2" t="s">
        <v>2329</v>
      </c>
      <c r="D2297" s="3" t="str">
        <f>HYPERLINK("https://12go.asia/en/travel/ahmadnagar/wardha-junction", "12Go Link")</f>
        <v>12Go Link</v>
      </c>
      <c r="E2297" s="2" t="s">
        <v>77</v>
      </c>
    </row>
    <row r="2298">
      <c r="A2298" s="2" t="s">
        <v>2330</v>
      </c>
      <c r="B2298" s="2" t="s">
        <v>2331</v>
      </c>
      <c r="C2298" s="2" t="s">
        <v>2332</v>
      </c>
      <c r="D2298" s="3" t="str">
        <f>HYPERLINK("https://12go.asia/en/travel/ahmedabad-jn/dondaicha", "12Go Link")</f>
        <v>12Go Link</v>
      </c>
      <c r="E2298" s="2" t="s">
        <v>77</v>
      </c>
    </row>
    <row r="2299">
      <c r="A2299" s="2" t="s">
        <v>2330</v>
      </c>
      <c r="B2299" s="2" t="s">
        <v>2331</v>
      </c>
      <c r="C2299" s="2" t="s">
        <v>2333</v>
      </c>
      <c r="D2299" s="3" t="str">
        <f>HYPERLINK("https://12go.asia/en/travel/ahmedabad/dondaicha", "12Go Link")</f>
        <v>12Go Link</v>
      </c>
      <c r="E2299" s="2" t="s">
        <v>77</v>
      </c>
    </row>
    <row r="2300">
      <c r="A2300" s="2" t="s">
        <v>2330</v>
      </c>
      <c r="B2300" s="2" t="s">
        <v>2334</v>
      </c>
      <c r="C2300" s="2" t="s">
        <v>2335</v>
      </c>
      <c r="D2300" s="3" t="str">
        <f>HYPERLINK("https://12go.asia/en/travel/ahmedabad-jn/gondia-junction", "12Go Link")</f>
        <v>12Go Link</v>
      </c>
      <c r="E2300" s="2" t="s">
        <v>77</v>
      </c>
    </row>
    <row r="2301">
      <c r="A2301" s="2" t="s">
        <v>2330</v>
      </c>
      <c r="B2301" s="2" t="s">
        <v>2334</v>
      </c>
      <c r="C2301" s="2" t="s">
        <v>2336</v>
      </c>
      <c r="D2301" s="3" t="str">
        <f>HYPERLINK("https://12go.asia/en/travel/ahmedabad/gondia", "12Go Link")</f>
        <v>12Go Link</v>
      </c>
      <c r="E2301" s="2" t="s">
        <v>77</v>
      </c>
    </row>
    <row r="2302">
      <c r="A2302" s="2" t="s">
        <v>2330</v>
      </c>
      <c r="B2302" s="2" t="s">
        <v>2337</v>
      </c>
      <c r="C2302" s="2" t="s">
        <v>2338</v>
      </c>
      <c r="D2302" s="3" t="str">
        <f>HYPERLINK("https://12go.asia/en/travel/ahmedabad-jn/kim", "12Go Link")</f>
        <v>12Go Link</v>
      </c>
      <c r="E2302" s="2" t="s">
        <v>77</v>
      </c>
    </row>
    <row r="2303">
      <c r="A2303" s="2" t="s">
        <v>2339</v>
      </c>
      <c r="B2303" s="2" t="s">
        <v>2340</v>
      </c>
      <c r="C2303" s="2" t="s">
        <v>2341</v>
      </c>
      <c r="D2303" s="3" t="str">
        <f>HYPERLINK("https://12go.asia/en/travel/ajmer-jn/bhuj", "12Go Link")</f>
        <v>12Go Link</v>
      </c>
      <c r="E2303" s="2" t="s">
        <v>77</v>
      </c>
    </row>
    <row r="2304">
      <c r="A2304" s="2" t="s">
        <v>2339</v>
      </c>
      <c r="B2304" s="2" t="s">
        <v>2277</v>
      </c>
      <c r="C2304" s="2" t="s">
        <v>2342</v>
      </c>
      <c r="D2304" s="3" t="str">
        <f>HYPERLINK("https://12go.asia/en/travel/ajmer/sikandra-agra", "12Go Link")</f>
        <v>12Go Link</v>
      </c>
      <c r="E2304" s="2" t="s">
        <v>77</v>
      </c>
    </row>
    <row r="2305">
      <c r="A2305" s="2" t="s">
        <v>2343</v>
      </c>
      <c r="B2305" s="2" t="s">
        <v>2334</v>
      </c>
      <c r="C2305" s="2" t="s">
        <v>2344</v>
      </c>
      <c r="D2305" s="3" t="str">
        <f>HYPERLINK("https://12go.asia/en/travel/akola-junction/gondia-junction", "12Go Link")</f>
        <v>12Go Link</v>
      </c>
      <c r="E2305" s="2" t="s">
        <v>77</v>
      </c>
    </row>
    <row r="2306">
      <c r="A2306" s="2" t="s">
        <v>2343</v>
      </c>
      <c r="B2306" s="2" t="s">
        <v>2334</v>
      </c>
      <c r="C2306" s="2" t="s">
        <v>2345</v>
      </c>
      <c r="D2306" s="3" t="str">
        <f>HYPERLINK("https://12go.asia/en/travel/akola/gondia", "12Go Link")</f>
        <v>12Go Link</v>
      </c>
      <c r="E2306" s="2" t="s">
        <v>77</v>
      </c>
    </row>
    <row r="2307">
      <c r="A2307" s="2" t="s">
        <v>2343</v>
      </c>
      <c r="B2307" s="2" t="s">
        <v>2346</v>
      </c>
      <c r="C2307" s="2" t="s">
        <v>2347</v>
      </c>
      <c r="D2307" s="3" t="str">
        <f>HYPERLINK("https://12go.asia/en/travel/akola-junction/mathura-jn", "12Go Link")</f>
        <v>12Go Link</v>
      </c>
      <c r="E2307" s="2" t="s">
        <v>77</v>
      </c>
    </row>
    <row r="2308">
      <c r="A2308" s="2" t="s">
        <v>2343</v>
      </c>
      <c r="B2308" s="2" t="s">
        <v>2346</v>
      </c>
      <c r="C2308" s="2" t="s">
        <v>2348</v>
      </c>
      <c r="D2308" s="3" t="str">
        <f>HYPERLINK("https://12go.asia/en/travel/akola/mathura", "12Go Link")</f>
        <v>12Go Link</v>
      </c>
      <c r="E2308" s="2" t="s">
        <v>77</v>
      </c>
    </row>
    <row r="2309">
      <c r="A2309" s="2" t="s">
        <v>2343</v>
      </c>
      <c r="B2309" s="2" t="s">
        <v>2349</v>
      </c>
      <c r="C2309" s="2" t="s">
        <v>2350</v>
      </c>
      <c r="D2309" s="3" t="str">
        <f>HYPERLINK("https://12go.asia/en/travel/akola-junction/nandurbar", "12Go Link")</f>
        <v>12Go Link</v>
      </c>
      <c r="E2309" s="2" t="s">
        <v>77</v>
      </c>
    </row>
    <row r="2310">
      <c r="A2310" s="2" t="s">
        <v>2343</v>
      </c>
      <c r="B2310" s="2" t="s">
        <v>2349</v>
      </c>
      <c r="C2310" s="2" t="s">
        <v>2351</v>
      </c>
      <c r="D2310" s="3" t="str">
        <f>HYPERLINK("https://12go.asia/en/travel/akola/nandurbar", "12Go Link")</f>
        <v>12Go Link</v>
      </c>
      <c r="E2310" s="2" t="s">
        <v>77</v>
      </c>
    </row>
    <row r="2311">
      <c r="A2311" s="2" t="s">
        <v>2343</v>
      </c>
      <c r="B2311" s="2" t="s">
        <v>2320</v>
      </c>
      <c r="C2311" s="2" t="s">
        <v>2352</v>
      </c>
      <c r="D2311" s="3" t="str">
        <f>HYPERLINK("https://12go.asia/en/travel/akola-junction/parbhani-junction", "12Go Link")</f>
        <v>12Go Link</v>
      </c>
      <c r="E2311" s="2" t="s">
        <v>77</v>
      </c>
    </row>
    <row r="2312">
      <c r="A2312" s="2" t="s">
        <v>2343</v>
      </c>
      <c r="B2312" s="2" t="s">
        <v>2320</v>
      </c>
      <c r="C2312" s="2" t="s">
        <v>2353</v>
      </c>
      <c r="D2312" s="3" t="str">
        <f>HYPERLINK("https://12go.asia/en/travel/akola/parbhani", "12Go Link")</f>
        <v>12Go Link</v>
      </c>
      <c r="E2312" s="2" t="s">
        <v>77</v>
      </c>
    </row>
    <row r="2313">
      <c r="A2313" s="2" t="s">
        <v>2343</v>
      </c>
      <c r="B2313" s="2" t="s">
        <v>2279</v>
      </c>
      <c r="C2313" s="2" t="s">
        <v>2354</v>
      </c>
      <c r="D2313" s="3" t="str">
        <f>HYPERLINK("https://12go.asia/en/travel/akola/vrindavan", "12Go Link")</f>
        <v>12Go Link</v>
      </c>
      <c r="E2313" s="2" t="s">
        <v>77</v>
      </c>
    </row>
    <row r="2314">
      <c r="A2314" s="2" t="s">
        <v>2355</v>
      </c>
      <c r="B2314" s="2" t="s">
        <v>2356</v>
      </c>
      <c r="C2314" s="2" t="s">
        <v>2357</v>
      </c>
      <c r="D2314" s="3" t="str">
        <f>HYPERLINK("https://12go.asia/en/travel/alappuzha/daman", "12Go Link")</f>
        <v>12Go Link</v>
      </c>
      <c r="E2314" s="2" t="s">
        <v>77</v>
      </c>
    </row>
    <row r="2315">
      <c r="A2315" s="2" t="s">
        <v>2355</v>
      </c>
      <c r="B2315" s="2" t="s">
        <v>2358</v>
      </c>
      <c r="C2315" s="2" t="s">
        <v>2359</v>
      </c>
      <c r="D2315" s="3" t="str">
        <f>HYPERLINK("https://12go.asia/en/travel/alappuzha/dhanbad", "12Go Link")</f>
        <v>12Go Link</v>
      </c>
      <c r="E2315" s="2" t="s">
        <v>77</v>
      </c>
    </row>
    <row r="2316">
      <c r="A2316" s="2" t="s">
        <v>2355</v>
      </c>
      <c r="B2316" s="2" t="s">
        <v>2358</v>
      </c>
      <c r="C2316" s="2" t="s">
        <v>2360</v>
      </c>
      <c r="D2316" s="3" t="str">
        <f>HYPERLINK("https://12go.asia/en/travel/alappuzha/dhanbad-junction", "12Go Link")</f>
        <v>12Go Link</v>
      </c>
      <c r="E2316" s="2" t="s">
        <v>77</v>
      </c>
    </row>
    <row r="2317">
      <c r="A2317" s="2" t="s">
        <v>2355</v>
      </c>
      <c r="B2317" s="2" t="s">
        <v>2361</v>
      </c>
      <c r="C2317" s="2" t="s">
        <v>2362</v>
      </c>
      <c r="D2317" s="3" t="str">
        <f t="shared" ref="D2317:D2318" si="287">HYPERLINK("https://12go.asia/en/travel/alappuzha/kasaragod", "12Go Link")</f>
        <v>12Go Link</v>
      </c>
      <c r="E2317" s="2" t="s">
        <v>77</v>
      </c>
    </row>
    <row r="2318">
      <c r="A2318" s="2" t="s">
        <v>2355</v>
      </c>
      <c r="B2318" s="2" t="s">
        <v>2361</v>
      </c>
      <c r="C2318" s="2" t="s">
        <v>2362</v>
      </c>
      <c r="D2318" s="3" t="str">
        <f t="shared" si="287"/>
        <v>12Go Link</v>
      </c>
      <c r="E2318" s="2" t="s">
        <v>25</v>
      </c>
    </row>
    <row r="2319">
      <c r="A2319" s="2" t="s">
        <v>2355</v>
      </c>
      <c r="B2319" s="2" t="s">
        <v>2363</v>
      </c>
      <c r="C2319" s="2" t="s">
        <v>2364</v>
      </c>
      <c r="D2319" s="3" t="str">
        <f>HYPERLINK("https://12go.asia/en/travel/alappuzha/navi-mumbai", "12Go Link")</f>
        <v>12Go Link</v>
      </c>
      <c r="E2319" s="2" t="s">
        <v>77</v>
      </c>
    </row>
    <row r="2320">
      <c r="A2320" s="2" t="s">
        <v>2355</v>
      </c>
      <c r="B2320" s="2" t="s">
        <v>2365</v>
      </c>
      <c r="C2320" s="2" t="s">
        <v>2366</v>
      </c>
      <c r="D2320" s="3" t="str">
        <f>HYPERLINK("https://12go.asia/en/travel/alappuzha/old-goa", "12Go Link")</f>
        <v>12Go Link</v>
      </c>
      <c r="E2320" s="2" t="s">
        <v>77</v>
      </c>
    </row>
    <row r="2321">
      <c r="A2321" s="2" t="s">
        <v>2355</v>
      </c>
      <c r="B2321" s="2" t="s">
        <v>2367</v>
      </c>
      <c r="C2321" s="2" t="s">
        <v>2368</v>
      </c>
      <c r="D2321" s="3" t="str">
        <f>HYPERLINK("https://12go.asia/en/travel/alappuzha/vapi", "12Go Link")</f>
        <v>12Go Link</v>
      </c>
      <c r="E2321" s="2" t="s">
        <v>77</v>
      </c>
    </row>
    <row r="2322">
      <c r="A2322" s="2" t="s">
        <v>2369</v>
      </c>
      <c r="B2322" s="2" t="s">
        <v>2370</v>
      </c>
      <c r="C2322" s="2" t="s">
        <v>2371</v>
      </c>
      <c r="D2322" s="3" t="str">
        <f>HYPERLINK("https://12go.asia/en/travel/aligarh-junction/hathras-junction", "12Go Link")</f>
        <v>12Go Link</v>
      </c>
      <c r="E2322" s="2" t="s">
        <v>77</v>
      </c>
    </row>
    <row r="2323">
      <c r="A2323" s="2" t="s">
        <v>2369</v>
      </c>
      <c r="B2323" s="2" t="s">
        <v>2370</v>
      </c>
      <c r="C2323" s="2" t="s">
        <v>2372</v>
      </c>
      <c r="D2323" s="3" t="str">
        <f>HYPERLINK("https://12go.asia/en/travel/aligarh/hathras", "12Go Link")</f>
        <v>12Go Link</v>
      </c>
      <c r="E2323" s="2" t="s">
        <v>77</v>
      </c>
    </row>
    <row r="2324">
      <c r="A2324" s="2" t="s">
        <v>2369</v>
      </c>
      <c r="B2324" s="2" t="s">
        <v>2373</v>
      </c>
      <c r="C2324" s="2" t="s">
        <v>2374</v>
      </c>
      <c r="D2324" s="3" t="str">
        <f>HYPERLINK("https://12go.asia/en/travel/aligarh/jammu-and-kashmir", "12Go Link")</f>
        <v>12Go Link</v>
      </c>
      <c r="E2324" s="2" t="s">
        <v>77</v>
      </c>
    </row>
    <row r="2325">
      <c r="A2325" s="2" t="s">
        <v>2369</v>
      </c>
      <c r="B2325" s="2" t="s">
        <v>2375</v>
      </c>
      <c r="C2325" s="2" t="s">
        <v>2376</v>
      </c>
      <c r="D2325" s="3" t="str">
        <f>HYPERLINK("https://12go.asia/en/travel/aligarh/jammu-kashmir", "12Go Link")</f>
        <v>12Go Link</v>
      </c>
      <c r="E2325" s="2" t="s">
        <v>77</v>
      </c>
    </row>
    <row r="2326">
      <c r="A2326" s="2" t="s">
        <v>2369</v>
      </c>
      <c r="B2326" s="2" t="s">
        <v>2377</v>
      </c>
      <c r="C2326" s="2" t="s">
        <v>2378</v>
      </c>
      <c r="D2326" s="3" t="str">
        <f>HYPERLINK("https://12go.asia/en/travel/aligarh-junction/prayag", "12Go Link")</f>
        <v>12Go Link</v>
      </c>
      <c r="E2326" s="2" t="s">
        <v>77</v>
      </c>
    </row>
    <row r="2327">
      <c r="A2327" s="2" t="s">
        <v>2379</v>
      </c>
      <c r="B2327" s="2" t="s">
        <v>2380</v>
      </c>
      <c r="C2327" s="2" t="s">
        <v>2381</v>
      </c>
      <c r="D2327" s="3" t="str">
        <f>HYPERLINK("https://12go.asia/en/travel/alwar/haridwar-jn", "12Go Link")</f>
        <v>12Go Link</v>
      </c>
      <c r="E2327" s="2" t="s">
        <v>77</v>
      </c>
    </row>
    <row r="2328">
      <c r="A2328" s="2" t="s">
        <v>2379</v>
      </c>
      <c r="B2328" s="2" t="s">
        <v>2380</v>
      </c>
      <c r="C2328" s="2" t="s">
        <v>2382</v>
      </c>
      <c r="D2328" s="3" t="str">
        <f>HYPERLINK("https://12go.asia/en/travel/alwar/haridwar", "12Go Link")</f>
        <v>12Go Link</v>
      </c>
      <c r="E2328" s="2" t="s">
        <v>77</v>
      </c>
    </row>
    <row r="2329">
      <c r="A2329" s="2" t="s">
        <v>2379</v>
      </c>
      <c r="B2329" s="2" t="s">
        <v>2383</v>
      </c>
      <c r="C2329" s="2" t="s">
        <v>2384</v>
      </c>
      <c r="D2329" s="3" t="str">
        <f>HYPERLINK("https://12go.asia/en/travel/alwar/haryana", "12Go Link")</f>
        <v>12Go Link</v>
      </c>
      <c r="E2329" s="2" t="s">
        <v>77</v>
      </c>
    </row>
    <row r="2330">
      <c r="A2330" s="2" t="s">
        <v>2379</v>
      </c>
      <c r="B2330" s="2" t="s">
        <v>2385</v>
      </c>
      <c r="C2330" s="2" t="s">
        <v>2386</v>
      </c>
      <c r="D2330" s="3" t="str">
        <f>HYPERLINK("https://12go.asia/en/travel/alwar/jammu-tawi", "12Go Link")</f>
        <v>12Go Link</v>
      </c>
      <c r="E2330" s="2" t="s">
        <v>77</v>
      </c>
    </row>
    <row r="2331">
      <c r="A2331" s="2" t="s">
        <v>2379</v>
      </c>
      <c r="B2331" s="2" t="s">
        <v>2385</v>
      </c>
      <c r="C2331" s="2" t="s">
        <v>2387</v>
      </c>
      <c r="D2331" s="3" t="str">
        <f>HYPERLINK("https://12go.asia/en/travel/alwar/jammu", "12Go Link")</f>
        <v>12Go Link</v>
      </c>
      <c r="E2331" s="2" t="s">
        <v>77</v>
      </c>
    </row>
    <row r="2332">
      <c r="A2332" s="2" t="s">
        <v>2388</v>
      </c>
      <c r="B2332" s="2" t="s">
        <v>2330</v>
      </c>
      <c r="C2332" s="2" t="s">
        <v>2389</v>
      </c>
      <c r="D2332" s="3" t="str">
        <f>HYPERLINK("https://12go.asia/en/travel/amalner/ahmedabad", "12Go Link")</f>
        <v>12Go Link</v>
      </c>
      <c r="E2332" s="2" t="s">
        <v>77</v>
      </c>
    </row>
    <row r="2333">
      <c r="A2333" s="2" t="s">
        <v>2388</v>
      </c>
      <c r="B2333" s="2" t="s">
        <v>2330</v>
      </c>
      <c r="C2333" s="2" t="s">
        <v>2390</v>
      </c>
      <c r="D2333" s="3" t="str">
        <f>HYPERLINK("https://12go.asia/en/travel/amalner/ahmedabad-jn", "12Go Link")</f>
        <v>12Go Link</v>
      </c>
      <c r="E2333" s="2" t="s">
        <v>77</v>
      </c>
    </row>
    <row r="2334">
      <c r="A2334" s="2" t="s">
        <v>2388</v>
      </c>
      <c r="B2334" s="2" t="s">
        <v>2391</v>
      </c>
      <c r="C2334" s="2" t="s">
        <v>2392</v>
      </c>
      <c r="D2334" s="3" t="str">
        <f>HYPERLINK("https://12go.asia/en/travel/amalner/barauni", "12Go Link")</f>
        <v>12Go Link</v>
      </c>
      <c r="E2334" s="2" t="s">
        <v>77</v>
      </c>
    </row>
    <row r="2335">
      <c r="A2335" s="2" t="s">
        <v>2388</v>
      </c>
      <c r="B2335" s="2" t="s">
        <v>2391</v>
      </c>
      <c r="C2335" s="2" t="s">
        <v>2393</v>
      </c>
      <c r="D2335" s="3" t="str">
        <f>HYPERLINK("https://12go.asia/en/travel/amalner/barauni-junction", "12Go Link")</f>
        <v>12Go Link</v>
      </c>
      <c r="E2335" s="2" t="s">
        <v>77</v>
      </c>
    </row>
    <row r="2336">
      <c r="A2336" s="2" t="s">
        <v>2394</v>
      </c>
      <c r="B2336" s="2" t="s">
        <v>2395</v>
      </c>
      <c r="C2336" s="2" t="s">
        <v>2396</v>
      </c>
      <c r="D2336" s="3" t="str">
        <f>HYPERLINK("https://12go.asia/en/travel/amravati/bhusaval", "12Go Link")</f>
        <v>12Go Link</v>
      </c>
      <c r="E2336" s="2" t="s">
        <v>77</v>
      </c>
    </row>
    <row r="2337">
      <c r="A2337" s="2" t="s">
        <v>2394</v>
      </c>
      <c r="B2337" s="2" t="s">
        <v>2397</v>
      </c>
      <c r="C2337" s="2" t="s">
        <v>2398</v>
      </c>
      <c r="D2337" s="3" t="str">
        <f>HYPERLINK("https://12go.asia/en/travel/amravati/surat", "12Go Link")</f>
        <v>12Go Link</v>
      </c>
      <c r="E2337" s="2" t="s">
        <v>77</v>
      </c>
    </row>
    <row r="2338">
      <c r="A2338" s="2" t="s">
        <v>2399</v>
      </c>
      <c r="B2338" s="2" t="s">
        <v>2400</v>
      </c>
      <c r="C2338" s="2" t="s">
        <v>2401</v>
      </c>
      <c r="D2338" s="3" t="str">
        <f>HYPERLINK("https://12go.asia/en/travel/amritsar-jn/durgapur", "12Go Link")</f>
        <v>12Go Link</v>
      </c>
      <c r="E2338" s="2" t="s">
        <v>77</v>
      </c>
    </row>
    <row r="2339">
      <c r="A2339" s="2" t="s">
        <v>2399</v>
      </c>
      <c r="B2339" s="2" t="s">
        <v>2402</v>
      </c>
      <c r="C2339" s="2" t="s">
        <v>2403</v>
      </c>
      <c r="D2339" s="3" t="str">
        <f>HYPERLINK("https://12go.asia/en/travel/amritsar-jn/manmad-junction", "12Go Link")</f>
        <v>12Go Link</v>
      </c>
      <c r="E2339" s="2" t="s">
        <v>77</v>
      </c>
    </row>
    <row r="2340">
      <c r="A2340" s="2" t="s">
        <v>2399</v>
      </c>
      <c r="B2340" s="2" t="s">
        <v>2402</v>
      </c>
      <c r="C2340" s="2" t="s">
        <v>2404</v>
      </c>
      <c r="D2340" s="3" t="str">
        <f>HYPERLINK("https://12go.asia/en/travel/amritsar/manmad", "12Go Link")</f>
        <v>12Go Link</v>
      </c>
      <c r="E2340" s="2" t="s">
        <v>77</v>
      </c>
    </row>
    <row r="2341">
      <c r="A2341" s="2" t="s">
        <v>2399</v>
      </c>
      <c r="B2341" s="2" t="s">
        <v>2405</v>
      </c>
      <c r="C2341" s="2" t="s">
        <v>2406</v>
      </c>
      <c r="D2341" s="3" t="str">
        <f>HYPERLINK("https://12go.asia/en/travel/amritsar-jn/najibabad-junction", "12Go Link")</f>
        <v>12Go Link</v>
      </c>
      <c r="E2341" s="2" t="s">
        <v>77</v>
      </c>
    </row>
    <row r="2342">
      <c r="A2342" s="2" t="s">
        <v>2407</v>
      </c>
      <c r="B2342" s="2" t="s">
        <v>2408</v>
      </c>
      <c r="C2342" s="2" t="s">
        <v>2409</v>
      </c>
      <c r="D2342" s="3" t="str">
        <f>HYPERLINK("https://12go.asia/en/travel/anantapur/new-delhi", "12Go Link")</f>
        <v>12Go Link</v>
      </c>
      <c r="E2342" s="2" t="s">
        <v>77</v>
      </c>
    </row>
    <row r="2343">
      <c r="A2343" s="2" t="s">
        <v>2410</v>
      </c>
      <c r="B2343" s="2" t="s">
        <v>2411</v>
      </c>
      <c r="C2343" s="2" t="s">
        <v>2412</v>
      </c>
      <c r="D2343" s="3" t="str">
        <f>HYPERLINK("https://12go.asia/en/travel/andal/bardhaman", "12Go Link")</f>
        <v>12Go Link</v>
      </c>
      <c r="E2343" s="2" t="s">
        <v>77</v>
      </c>
    </row>
    <row r="2344">
      <c r="A2344" s="2" t="s">
        <v>2413</v>
      </c>
      <c r="B2344" s="2" t="s">
        <v>2414</v>
      </c>
      <c r="C2344" s="2" t="s">
        <v>2415</v>
      </c>
      <c r="D2344" s="3" t="str">
        <f>HYPERLINK("https://12go.asia/en/travel/andhra-pradesh/chengannur", "12Go Link")</f>
        <v>12Go Link</v>
      </c>
      <c r="E2344" s="2" t="s">
        <v>77</v>
      </c>
    </row>
    <row r="2345">
      <c r="A2345" s="2" t="s">
        <v>2413</v>
      </c>
      <c r="B2345" s="2" t="s">
        <v>2416</v>
      </c>
      <c r="C2345" s="2" t="s">
        <v>2417</v>
      </c>
      <c r="D2345" s="3" t="str">
        <f>HYPERLINK("https://12go.asia/en/travel/thagarapuvalasa/hyderabad", "12Go Link")</f>
        <v>12Go Link</v>
      </c>
      <c r="E2345" s="2" t="s">
        <v>25</v>
      </c>
    </row>
    <row r="2346">
      <c r="A2346" s="2" t="s">
        <v>2413</v>
      </c>
      <c r="B2346" s="2" t="s">
        <v>2418</v>
      </c>
      <c r="C2346" s="2" t="s">
        <v>2419</v>
      </c>
      <c r="D2346" s="3" t="str">
        <f>HYPERLINK("https://12go.asia/en/travel/andhra-pradesh/manchiryal", "12Go Link")</f>
        <v>12Go Link</v>
      </c>
      <c r="E2346" s="2" t="s">
        <v>77</v>
      </c>
    </row>
    <row r="2347">
      <c r="A2347" s="2" t="s">
        <v>2413</v>
      </c>
      <c r="B2347" s="2" t="s">
        <v>2420</v>
      </c>
      <c r="C2347" s="2" t="s">
        <v>2421</v>
      </c>
      <c r="D2347" s="3" t="str">
        <f>HYPERLINK("https://12go.asia/en/travel/markapur-road/nandyal", "12Go Link")</f>
        <v>12Go Link</v>
      </c>
      <c r="E2347" s="2" t="s">
        <v>77</v>
      </c>
    </row>
    <row r="2348">
      <c r="A2348" s="2" t="s">
        <v>2413</v>
      </c>
      <c r="B2348" s="2" t="s">
        <v>2377</v>
      </c>
      <c r="C2348" s="2" t="s">
        <v>2422</v>
      </c>
      <c r="D2348" s="3" t="str">
        <f>HYPERLINK("https://12go.asia/en/travel/andhra-pradesh/prayagraj", "12Go Link")</f>
        <v>12Go Link</v>
      </c>
      <c r="E2348" s="2" t="s">
        <v>77</v>
      </c>
    </row>
    <row r="2349">
      <c r="A2349" s="2" t="s">
        <v>2413</v>
      </c>
      <c r="B2349" s="2" t="s">
        <v>2423</v>
      </c>
      <c r="C2349" s="2" t="s">
        <v>2424</v>
      </c>
      <c r="D2349" s="3" t="str">
        <f>HYPERLINK("https://12go.asia/en/travel/piler/vijayawada-jn", "12Go Link")</f>
        <v>12Go Link</v>
      </c>
      <c r="E2349" s="2" t="s">
        <v>77</v>
      </c>
    </row>
    <row r="2350">
      <c r="A2350" s="2" t="s">
        <v>2425</v>
      </c>
      <c r="B2350" s="2" t="s">
        <v>2426</v>
      </c>
      <c r="C2350" s="2" t="s">
        <v>2427</v>
      </c>
      <c r="D2350" s="3" t="str">
        <f>HYPERLINK("https://12go.asia/en/travel/angamali/aluva", "12Go Link")</f>
        <v>12Go Link</v>
      </c>
      <c r="E2350" s="2" t="s">
        <v>77</v>
      </c>
    </row>
    <row r="2351">
      <c r="A2351" s="2" t="s">
        <v>2425</v>
      </c>
      <c r="B2351" s="2" t="s">
        <v>2428</v>
      </c>
      <c r="C2351" s="2" t="s">
        <v>2429</v>
      </c>
      <c r="D2351" s="3" t="str">
        <f>HYPERLINK("https://12go.asia/en/travel/angamali/varkala", "12Go Link")</f>
        <v>12Go Link</v>
      </c>
      <c r="E2351" s="2" t="s">
        <v>77</v>
      </c>
    </row>
    <row r="2352">
      <c r="A2352" s="2" t="s">
        <v>2430</v>
      </c>
      <c r="B2352" s="2" t="s">
        <v>2431</v>
      </c>
      <c r="C2352" s="2" t="s">
        <v>2432</v>
      </c>
      <c r="D2352" s="3" t="str">
        <f>HYPERLINK("https://12go.asia/en/travel/anjuna/ernakulam", "12Go Link")</f>
        <v>12Go Link</v>
      </c>
      <c r="E2352" s="2" t="s">
        <v>77</v>
      </c>
    </row>
    <row r="2353">
      <c r="A2353" s="2" t="s">
        <v>2433</v>
      </c>
      <c r="B2353" s="2" t="s">
        <v>2434</v>
      </c>
      <c r="C2353" s="2" t="s">
        <v>2435</v>
      </c>
      <c r="D2353" s="3" t="str">
        <f>HYPERLINK("https://12go.asia/en/travel/ara/maharashtra", "12Go Link")</f>
        <v>12Go Link</v>
      </c>
      <c r="E2353" s="2" t="s">
        <v>77</v>
      </c>
    </row>
    <row r="2354">
      <c r="A2354" s="2" t="s">
        <v>2436</v>
      </c>
      <c r="B2354" s="2" t="s">
        <v>2437</v>
      </c>
      <c r="C2354" s="2" t="s">
        <v>2438</v>
      </c>
      <c r="D2354" s="3" t="str">
        <f>HYPERLINK("https://12go.asia/en/travel/arakkonam/kozhikode", "12Go Link")</f>
        <v>12Go Link</v>
      </c>
      <c r="E2354" s="2" t="s">
        <v>77</v>
      </c>
    </row>
    <row r="2355">
      <c r="A2355" s="2" t="s">
        <v>2436</v>
      </c>
      <c r="B2355" s="2" t="s">
        <v>2439</v>
      </c>
      <c r="C2355" s="2" t="s">
        <v>2440</v>
      </c>
      <c r="D2355" s="3" t="str">
        <f>HYPERLINK("https://12go.asia/en/travel/arakkonam/palakkad", "12Go Link")</f>
        <v>12Go Link</v>
      </c>
      <c r="E2355" s="2" t="s">
        <v>77</v>
      </c>
    </row>
    <row r="2356">
      <c r="A2356" s="2" t="s">
        <v>2436</v>
      </c>
      <c r="B2356" s="2" t="s">
        <v>2441</v>
      </c>
      <c r="C2356" s="2" t="s">
        <v>2442</v>
      </c>
      <c r="D2356" s="3" t="str">
        <f>HYPERLINK("https://12go.asia/en/travel/arakkonam/podanur", "12Go Link")</f>
        <v>12Go Link</v>
      </c>
      <c r="E2356" s="2" t="s">
        <v>77</v>
      </c>
    </row>
    <row r="2357">
      <c r="A2357" s="2" t="s">
        <v>2436</v>
      </c>
      <c r="B2357" s="2" t="s">
        <v>2441</v>
      </c>
      <c r="C2357" s="2" t="s">
        <v>2443</v>
      </c>
      <c r="D2357" s="3" t="str">
        <f>HYPERLINK("https://12go.asia/en/travel/arakkonam/podanur-junction", "12Go Link")</f>
        <v>12Go Link</v>
      </c>
      <c r="E2357" s="2" t="s">
        <v>77</v>
      </c>
    </row>
    <row r="2358">
      <c r="A2358" s="2" t="s">
        <v>2436</v>
      </c>
      <c r="B2358" s="2" t="s">
        <v>2444</v>
      </c>
      <c r="C2358" s="2" t="s">
        <v>2445</v>
      </c>
      <c r="D2358" s="3" t="str">
        <f>HYPERLINK("https://12go.asia/en/travel/arakkonam/salem", "12Go Link")</f>
        <v>12Go Link</v>
      </c>
      <c r="E2358" s="2" t="s">
        <v>77</v>
      </c>
    </row>
    <row r="2359">
      <c r="A2359" s="2" t="s">
        <v>2436</v>
      </c>
      <c r="B2359" s="2" t="s">
        <v>2444</v>
      </c>
      <c r="C2359" s="2" t="s">
        <v>2446</v>
      </c>
      <c r="D2359" s="3" t="str">
        <f>HYPERLINK("https://12go.asia/en/travel/arakkonam/salem-junction", "12Go Link")</f>
        <v>12Go Link</v>
      </c>
      <c r="E2359" s="2" t="s">
        <v>77</v>
      </c>
    </row>
    <row r="2360">
      <c r="A2360" s="2" t="s">
        <v>2436</v>
      </c>
      <c r="B2360" s="2" t="s">
        <v>2447</v>
      </c>
      <c r="C2360" s="2" t="s">
        <v>2448</v>
      </c>
      <c r="D2360" s="3" t="str">
        <f>HYPERLINK("https://12go.asia/en/travel/arakkonam/tambaram", "12Go Link")</f>
        <v>12Go Link</v>
      </c>
      <c r="E2360" s="2" t="s">
        <v>77</v>
      </c>
    </row>
    <row r="2361">
      <c r="A2361" s="2" t="s">
        <v>2449</v>
      </c>
      <c r="B2361" s="2" t="s">
        <v>2450</v>
      </c>
      <c r="C2361" s="2" t="s">
        <v>2451</v>
      </c>
      <c r="D2361" s="3" t="str">
        <f>HYPERLINK("https://12go.asia/en/travel/aranthangi/tirunelveli", "12Go Link")</f>
        <v>12Go Link</v>
      </c>
      <c r="E2361" s="2" t="s">
        <v>77</v>
      </c>
    </row>
    <row r="2362">
      <c r="A2362" s="2" t="s">
        <v>2452</v>
      </c>
      <c r="B2362" s="2" t="s">
        <v>2453</v>
      </c>
      <c r="C2362" s="2" t="s">
        <v>2454</v>
      </c>
      <c r="D2362" s="3" t="str">
        <f>HYPERLINK("https://12go.asia/en/travel/arsikere/margao", "12Go Link")</f>
        <v>12Go Link</v>
      </c>
      <c r="E2362" s="2" t="s">
        <v>77</v>
      </c>
    </row>
    <row r="2363">
      <c r="A2363" s="2" t="s">
        <v>2455</v>
      </c>
      <c r="B2363" s="2" t="s">
        <v>2400</v>
      </c>
      <c r="C2363" s="2" t="s">
        <v>2456</v>
      </c>
      <c r="D2363" s="3" t="str">
        <f>HYPERLINK("https://12go.asia/en/travel/asansol-junction/durgapur", "12Go Link")</f>
        <v>12Go Link</v>
      </c>
      <c r="E2363" s="2" t="s">
        <v>77</v>
      </c>
    </row>
    <row r="2364">
      <c r="A2364" s="2" t="s">
        <v>2455</v>
      </c>
      <c r="B2364" s="2" t="s">
        <v>2400</v>
      </c>
      <c r="C2364" s="2" t="s">
        <v>2457</v>
      </c>
      <c r="D2364" s="3" t="str">
        <f>HYPERLINK("https://12go.asia/en/travel/asansol/durgapur", "12Go Link")</f>
        <v>12Go Link</v>
      </c>
      <c r="E2364" s="2" t="s">
        <v>77</v>
      </c>
    </row>
    <row r="2365">
      <c r="A2365" s="2" t="s">
        <v>2455</v>
      </c>
      <c r="B2365" s="2" t="s">
        <v>2383</v>
      </c>
      <c r="C2365" s="2" t="s">
        <v>2458</v>
      </c>
      <c r="D2365" s="3" t="str">
        <f>HYPERLINK("https://12go.asia/en/travel/asansol/haryana", "12Go Link")</f>
        <v>12Go Link</v>
      </c>
      <c r="E2365" s="2" t="s">
        <v>77</v>
      </c>
    </row>
    <row r="2366">
      <c r="A2366" s="2" t="s">
        <v>2455</v>
      </c>
      <c r="B2366" s="2" t="s">
        <v>2459</v>
      </c>
      <c r="C2366" s="2" t="s">
        <v>2460</v>
      </c>
      <c r="D2366" s="3" t="str">
        <f>HYPERLINK("https://12go.asia/en/travel/asansol-junction/jaipur", "12Go Link")</f>
        <v>12Go Link</v>
      </c>
      <c r="E2366" s="2" t="s">
        <v>77</v>
      </c>
    </row>
    <row r="2367">
      <c r="A2367" s="2" t="s">
        <v>2455</v>
      </c>
      <c r="B2367" s="2" t="s">
        <v>2385</v>
      </c>
      <c r="C2367" s="2" t="s">
        <v>2461</v>
      </c>
      <c r="D2367" s="3" t="str">
        <f>HYPERLINK("https://12go.asia/en/travel/asansol-junction/jammu-tawi", "12Go Link")</f>
        <v>12Go Link</v>
      </c>
      <c r="E2367" s="2" t="s">
        <v>77</v>
      </c>
    </row>
    <row r="2368">
      <c r="A2368" s="2" t="s">
        <v>2455</v>
      </c>
      <c r="B2368" s="2" t="s">
        <v>2385</v>
      </c>
      <c r="C2368" s="2" t="s">
        <v>2462</v>
      </c>
      <c r="D2368" s="3" t="str">
        <f>HYPERLINK("https://12go.asia/en/travel/asansol/jammu", "12Go Link")</f>
        <v>12Go Link</v>
      </c>
      <c r="E2368" s="2" t="s">
        <v>77</v>
      </c>
    </row>
    <row r="2369">
      <c r="A2369" s="2" t="s">
        <v>2455</v>
      </c>
      <c r="B2369" s="2" t="s">
        <v>2373</v>
      </c>
      <c r="C2369" s="2" t="s">
        <v>2463</v>
      </c>
      <c r="D2369" s="3" t="str">
        <f>HYPERLINK("https://12go.asia/en/travel/asansol/jammu-and-kashmir", "12Go Link")</f>
        <v>12Go Link</v>
      </c>
      <c r="E2369" s="2" t="s">
        <v>77</v>
      </c>
    </row>
    <row r="2370">
      <c r="A2370" s="2" t="s">
        <v>2455</v>
      </c>
      <c r="B2370" s="2" t="s">
        <v>2375</v>
      </c>
      <c r="C2370" s="2" t="s">
        <v>2464</v>
      </c>
      <c r="D2370" s="3" t="str">
        <f>HYPERLINK("https://12go.asia/en/travel/asansol/jammu-kashmir", "12Go Link")</f>
        <v>12Go Link</v>
      </c>
      <c r="E2370" s="2" t="s">
        <v>77</v>
      </c>
    </row>
    <row r="2371">
      <c r="A2371" s="2" t="s">
        <v>2455</v>
      </c>
      <c r="B2371" s="2" t="s">
        <v>2465</v>
      </c>
      <c r="C2371" s="2" t="s">
        <v>2466</v>
      </c>
      <c r="D2371" s="3" t="str">
        <f>HYPERLINK("https://12go.asia/en/travel/asansol-junction/kathgodam", "12Go Link")</f>
        <v>12Go Link</v>
      </c>
      <c r="E2371" s="2" t="s">
        <v>77</v>
      </c>
    </row>
    <row r="2372">
      <c r="A2372" s="2" t="s">
        <v>2455</v>
      </c>
      <c r="B2372" s="2" t="s">
        <v>2465</v>
      </c>
      <c r="C2372" s="2" t="s">
        <v>2467</v>
      </c>
      <c r="D2372" s="3" t="str">
        <f>HYPERLINK("https://12go.asia/en/travel/asansol/kathgodam", "12Go Link")</f>
        <v>12Go Link</v>
      </c>
      <c r="E2372" s="2" t="s">
        <v>77</v>
      </c>
    </row>
    <row r="2373">
      <c r="A2373" s="2" t="s">
        <v>2455</v>
      </c>
      <c r="B2373" s="2" t="s">
        <v>2468</v>
      </c>
      <c r="C2373" s="2" t="s">
        <v>2469</v>
      </c>
      <c r="D2373" s="3" t="str">
        <f>HYPERLINK("https://12go.asia/en/travel/asansol/rajasthan", "12Go Link")</f>
        <v>12Go Link</v>
      </c>
      <c r="E2373" s="2" t="s">
        <v>77</v>
      </c>
    </row>
    <row r="2374">
      <c r="A2374" s="2" t="s">
        <v>2455</v>
      </c>
      <c r="B2374" s="2" t="s">
        <v>2470</v>
      </c>
      <c r="C2374" s="2" t="s">
        <v>2471</v>
      </c>
      <c r="D2374" s="3" t="str">
        <f>HYPERLINK("https://12go.asia/en/travel/asansol-junction/siwan-junction", "12Go Link")</f>
        <v>12Go Link</v>
      </c>
      <c r="E2374" s="2" t="s">
        <v>77</v>
      </c>
    </row>
    <row r="2375">
      <c r="A2375" s="2" t="s">
        <v>2455</v>
      </c>
      <c r="B2375" s="2" t="s">
        <v>2470</v>
      </c>
      <c r="C2375" s="2" t="s">
        <v>2472</v>
      </c>
      <c r="D2375" s="3" t="str">
        <f>HYPERLINK("https://12go.asia/en/travel/asansol/siwan", "12Go Link")</f>
        <v>12Go Link</v>
      </c>
      <c r="E2375" s="2" t="s">
        <v>77</v>
      </c>
    </row>
    <row r="2376">
      <c r="A2376" s="2" t="s">
        <v>2473</v>
      </c>
      <c r="B2376" s="2" t="s">
        <v>2474</v>
      </c>
      <c r="C2376" s="2" t="s">
        <v>2475</v>
      </c>
      <c r="D2376" s="3" t="str">
        <f>HYPERLINK("https://12go.asia/en/travel/assam/alipurduar", "12Go Link")</f>
        <v>12Go Link</v>
      </c>
      <c r="E2376" s="2" t="s">
        <v>77</v>
      </c>
    </row>
    <row r="2377">
      <c r="A2377" s="2" t="s">
        <v>2473</v>
      </c>
      <c r="B2377" s="2" t="s">
        <v>2413</v>
      </c>
      <c r="C2377" s="2" t="s">
        <v>2476</v>
      </c>
      <c r="D2377" s="3" t="str">
        <f>HYPERLINK("https://12go.asia/en/travel/assam/andhra-pradesh", "12Go Link")</f>
        <v>12Go Link</v>
      </c>
      <c r="E2377" s="2" t="s">
        <v>77</v>
      </c>
    </row>
    <row r="2378">
      <c r="A2378" s="2" t="s">
        <v>2473</v>
      </c>
      <c r="B2378" s="2" t="s">
        <v>2477</v>
      </c>
      <c r="C2378" s="2" t="s">
        <v>2478</v>
      </c>
      <c r="D2378" s="3" t="str">
        <f>HYPERLINK("https://12go.asia/en/travel/assam/bareilly", "12Go Link")</f>
        <v>12Go Link</v>
      </c>
      <c r="E2378" s="2" t="s">
        <v>77</v>
      </c>
    </row>
    <row r="2379">
      <c r="A2379" s="2" t="s">
        <v>2473</v>
      </c>
      <c r="B2379" s="2" t="s">
        <v>2479</v>
      </c>
      <c r="C2379" s="2" t="s">
        <v>2480</v>
      </c>
      <c r="D2379" s="3" t="str">
        <f>HYPERLINK("https://12go.asia/en/travel/assam/coimbatore", "12Go Link")</f>
        <v>12Go Link</v>
      </c>
      <c r="E2379" s="2" t="s">
        <v>77</v>
      </c>
    </row>
    <row r="2380">
      <c r="A2380" s="2" t="s">
        <v>2473</v>
      </c>
      <c r="B2380" s="2" t="s">
        <v>2481</v>
      </c>
      <c r="C2380" s="2" t="s">
        <v>2482</v>
      </c>
      <c r="D2380" s="3" t="str">
        <f>HYPERLINK("https://12go.asia/en/travel/assam/dharmanagar", "12Go Link")</f>
        <v>12Go Link</v>
      </c>
      <c r="E2380" s="2" t="s">
        <v>77</v>
      </c>
    </row>
    <row r="2381">
      <c r="A2381" s="2" t="s">
        <v>2473</v>
      </c>
      <c r="B2381" s="2" t="s">
        <v>2483</v>
      </c>
      <c r="C2381" s="2" t="s">
        <v>2484</v>
      </c>
      <c r="D2381" s="3" t="str">
        <f>HYPERLINK("https://12go.asia/en/travel/assam/fakiragram", "12Go Link")</f>
        <v>12Go Link</v>
      </c>
      <c r="E2381" s="2" t="s">
        <v>77</v>
      </c>
    </row>
    <row r="2382">
      <c r="A2382" s="2" t="s">
        <v>2473</v>
      </c>
      <c r="B2382" s="2" t="s">
        <v>2485</v>
      </c>
      <c r="C2382" s="2" t="s">
        <v>2486</v>
      </c>
      <c r="D2382" s="3" t="str">
        <f>HYPERLINK("https://12go.asia/en/travel/assam/goalpara", "12Go Link")</f>
        <v>12Go Link</v>
      </c>
      <c r="E2382" s="2" t="s">
        <v>77</v>
      </c>
    </row>
    <row r="2383">
      <c r="A2383" s="2" t="s">
        <v>2473</v>
      </c>
      <c r="B2383" s="2" t="s">
        <v>2487</v>
      </c>
      <c r="C2383" s="2" t="s">
        <v>2488</v>
      </c>
      <c r="D2383" s="3" t="str">
        <f>HYPERLINK("https://12go.asia/en/travel/assam/khagaria", "12Go Link")</f>
        <v>12Go Link</v>
      </c>
      <c r="E2383" s="2" t="s">
        <v>77</v>
      </c>
    </row>
    <row r="2384">
      <c r="A2384" s="2" t="s">
        <v>2473</v>
      </c>
      <c r="B2384" s="2" t="s">
        <v>2489</v>
      </c>
      <c r="C2384" s="2" t="s">
        <v>2490</v>
      </c>
      <c r="D2384" s="3" t="str">
        <f>HYPERLINK("https://12go.asia/en/travel/assam/ledo", "12Go Link")</f>
        <v>12Go Link</v>
      </c>
      <c r="E2384" s="2" t="s">
        <v>77</v>
      </c>
    </row>
    <row r="2385">
      <c r="A2385" s="2" t="s">
        <v>2473</v>
      </c>
      <c r="B2385" s="2" t="s">
        <v>2491</v>
      </c>
      <c r="C2385" s="2" t="s">
        <v>2492</v>
      </c>
      <c r="D2385" s="3" t="str">
        <f>HYPERLINK("https://12go.asia/en/travel/assam/muzaffarpur", "12Go Link")</f>
        <v>12Go Link</v>
      </c>
      <c r="E2385" s="2" t="s">
        <v>77</v>
      </c>
    </row>
    <row r="2386">
      <c r="A2386" s="2" t="s">
        <v>2473</v>
      </c>
      <c r="B2386" s="2" t="s">
        <v>2423</v>
      </c>
      <c r="C2386" s="2" t="s">
        <v>2493</v>
      </c>
      <c r="D2386" s="3" t="str">
        <f>HYPERLINK("https://12go.asia/en/travel/assam/vijayawada", "12Go Link")</f>
        <v>12Go Link</v>
      </c>
      <c r="E2386" s="2" t="s">
        <v>77</v>
      </c>
    </row>
    <row r="2387">
      <c r="A2387" s="2" t="s">
        <v>2313</v>
      </c>
      <c r="B2387" s="2" t="s">
        <v>2413</v>
      </c>
      <c r="C2387" s="2" t="s">
        <v>2494</v>
      </c>
      <c r="D2387" s="3" t="str">
        <f>HYPERLINK("https://12go.asia/en/travel/aurangabad/andhra-pradesh", "12Go Link")</f>
        <v>12Go Link</v>
      </c>
      <c r="E2387" s="2" t="s">
        <v>77</v>
      </c>
    </row>
    <row r="2388">
      <c r="A2388" s="2" t="s">
        <v>2313</v>
      </c>
      <c r="B2388" s="2" t="s">
        <v>2495</v>
      </c>
      <c r="C2388" s="2" t="s">
        <v>2496</v>
      </c>
      <c r="D2388" s="3" t="str">
        <f>HYPERLINK("https://12go.asia/en/travel/aurangabad/balharshah", "12Go Link")</f>
        <v>12Go Link</v>
      </c>
      <c r="E2388" s="2" t="s">
        <v>77</v>
      </c>
    </row>
    <row r="2389">
      <c r="A2389" s="2" t="s">
        <v>2313</v>
      </c>
      <c r="B2389" s="2" t="s">
        <v>2495</v>
      </c>
      <c r="C2389" s="2" t="s">
        <v>2497</v>
      </c>
      <c r="D2389" s="3" t="str">
        <f>HYPERLINK("https://12go.asia/en/travel/aurangabad/ballarpur", "12Go Link")</f>
        <v>12Go Link</v>
      </c>
      <c r="E2389" s="2" t="s">
        <v>77</v>
      </c>
    </row>
    <row r="2390">
      <c r="A2390" s="2" t="s">
        <v>2282</v>
      </c>
      <c r="B2390" s="2" t="s">
        <v>2498</v>
      </c>
      <c r="C2390" s="2" t="s">
        <v>2499</v>
      </c>
      <c r="D2390" s="3" t="str">
        <f>HYPERLINK("https://12go.asia/en/travel/ayodhya/jaunpur", "12Go Link")</f>
        <v>12Go Link</v>
      </c>
      <c r="E2390" s="2" t="s">
        <v>77</v>
      </c>
    </row>
    <row r="2391">
      <c r="A2391" s="2" t="s">
        <v>2282</v>
      </c>
      <c r="B2391" s="2" t="s">
        <v>2500</v>
      </c>
      <c r="C2391" s="2" t="s">
        <v>2501</v>
      </c>
      <c r="D2391" s="3" t="str">
        <f>HYPERLINK("https://12go.asia/en/travel/ayodhya/mankapur", "12Go Link")</f>
        <v>12Go Link</v>
      </c>
      <c r="E2391" s="2" t="s">
        <v>77</v>
      </c>
    </row>
    <row r="2392">
      <c r="A2392" s="2" t="s">
        <v>2282</v>
      </c>
      <c r="B2392" s="2" t="s">
        <v>2500</v>
      </c>
      <c r="C2392" s="2" t="s">
        <v>2502</v>
      </c>
      <c r="D2392" s="3" t="str">
        <f>HYPERLINK("https://12go.asia/en/travel/ayodhya/mankapur-junction", "12Go Link")</f>
        <v>12Go Link</v>
      </c>
      <c r="E2392" s="2" t="s">
        <v>77</v>
      </c>
    </row>
    <row r="2393">
      <c r="A2393" s="2" t="s">
        <v>2282</v>
      </c>
      <c r="B2393" s="2" t="s">
        <v>2503</v>
      </c>
      <c r="C2393" s="2" t="s">
        <v>2504</v>
      </c>
      <c r="D2393" s="3" t="str">
        <f>HYPERLINK("https://12go.asia/en/travel/ayodhya/nautanwa", "12Go Link")</f>
        <v>12Go Link</v>
      </c>
      <c r="E2393" s="2" t="s">
        <v>77</v>
      </c>
    </row>
    <row r="2394">
      <c r="A2394" s="2" t="s">
        <v>2282</v>
      </c>
      <c r="B2394" s="2" t="s">
        <v>2505</v>
      </c>
      <c r="C2394" s="2" t="s">
        <v>2506</v>
      </c>
      <c r="D2394" s="3" t="str">
        <f>HYPERLINK("https://12go.asia/en/travel/ayodhya/sonauli", "12Go Link")</f>
        <v>12Go Link</v>
      </c>
      <c r="E2394" s="2" t="s">
        <v>77</v>
      </c>
    </row>
    <row r="2395">
      <c r="A2395" s="2" t="s">
        <v>2282</v>
      </c>
      <c r="B2395" s="2" t="s">
        <v>2507</v>
      </c>
      <c r="C2395" s="2" t="s">
        <v>2508</v>
      </c>
      <c r="D2395" s="3" t="str">
        <f>HYPERLINK("https://12go.asia/en/travel/ayodhya/bhairahawa", "12Go Link")</f>
        <v>12Go Link</v>
      </c>
      <c r="E2395" s="2" t="s">
        <v>77</v>
      </c>
    </row>
    <row r="2396">
      <c r="A2396" s="2" t="s">
        <v>2284</v>
      </c>
      <c r="B2396" s="2" t="s">
        <v>2509</v>
      </c>
      <c r="C2396" s="2" t="s">
        <v>2510</v>
      </c>
      <c r="D2396" s="3" t="str">
        <f>HYPERLINK("https://12go.asia/en/travel/badshahnagar/tundla-junction", "12Go Link")</f>
        <v>12Go Link</v>
      </c>
      <c r="E2396" s="2" t="s">
        <v>77</v>
      </c>
    </row>
    <row r="2397">
      <c r="A2397" s="2" t="s">
        <v>2511</v>
      </c>
      <c r="B2397" s="2" t="s">
        <v>2452</v>
      </c>
      <c r="C2397" s="2" t="s">
        <v>2512</v>
      </c>
      <c r="D2397" s="3" t="str">
        <f>HYPERLINK("https://12go.asia/en/travel/bagalkote/arsikere", "12Go Link")</f>
        <v>12Go Link</v>
      </c>
      <c r="E2397" s="2" t="s">
        <v>77</v>
      </c>
    </row>
    <row r="2398">
      <c r="A2398" s="2" t="s">
        <v>2513</v>
      </c>
      <c r="B2398" s="2" t="s">
        <v>2514</v>
      </c>
      <c r="C2398" s="2" t="s">
        <v>2515</v>
      </c>
      <c r="D2398" s="3" t="str">
        <f>HYPERLINK("https://12go.asia/en/travel/balangir/cuttack", "12Go Link")</f>
        <v>12Go Link</v>
      </c>
      <c r="E2398" s="2" t="s">
        <v>77</v>
      </c>
    </row>
    <row r="2399">
      <c r="A2399" s="2" t="s">
        <v>2516</v>
      </c>
      <c r="B2399" s="2" t="s">
        <v>2517</v>
      </c>
      <c r="C2399" s="2" t="s">
        <v>2518</v>
      </c>
      <c r="D2399" s="3" t="str">
        <f>HYPERLINK("https://12go.asia/en/travel/ksr-bangalore/bantawala", "12Go Link")</f>
        <v>12Go Link</v>
      </c>
      <c r="E2399" s="2" t="s">
        <v>77</v>
      </c>
    </row>
    <row r="2400">
      <c r="A2400" s="2" t="s">
        <v>2516</v>
      </c>
      <c r="B2400" s="2" t="s">
        <v>2519</v>
      </c>
      <c r="C2400" s="2" t="s">
        <v>2520</v>
      </c>
      <c r="D2400" s="3" t="str">
        <f>HYPERLINK("https://12go.asia/en/travel/new-bengaluru-terminal/bhimavaram-town", "12Go Link")</f>
        <v>12Go Link</v>
      </c>
      <c r="E2400" s="2" t="s">
        <v>77</v>
      </c>
    </row>
    <row r="2401">
      <c r="A2401" s="2" t="s">
        <v>2516</v>
      </c>
      <c r="B2401" s="2" t="s">
        <v>2521</v>
      </c>
      <c r="C2401" s="2" t="s">
        <v>2522</v>
      </c>
      <c r="D2401" s="3" t="str">
        <f>HYPERLINK("https://12go.asia/en/travel/ksr-bangalore/cuddalore-port-junction", "12Go Link")</f>
        <v>12Go Link</v>
      </c>
      <c r="E2401" s="2" t="s">
        <v>77</v>
      </c>
    </row>
    <row r="2402">
      <c r="A2402" s="2" t="s">
        <v>2516</v>
      </c>
      <c r="B2402" s="2" t="s">
        <v>2523</v>
      </c>
      <c r="C2402" s="2" t="s">
        <v>2524</v>
      </c>
      <c r="D2402" s="3" t="str">
        <f>HYPERLINK("https://12go.asia/en/travel/ksr-bangalore/gooty", "12Go Link")</f>
        <v>12Go Link</v>
      </c>
      <c r="E2402" s="2" t="s">
        <v>77</v>
      </c>
    </row>
    <row r="2403">
      <c r="A2403" s="2" t="s">
        <v>2516</v>
      </c>
      <c r="B2403" s="2" t="s">
        <v>2525</v>
      </c>
      <c r="C2403" s="2" t="s">
        <v>2526</v>
      </c>
      <c r="D2403" s="3" t="str">
        <f>HYPERLINK("https://12go.asia/en/travel/yesvantpur/harihar", "12Go Link")</f>
        <v>12Go Link</v>
      </c>
      <c r="E2403" s="2" t="s">
        <v>77</v>
      </c>
    </row>
    <row r="2404">
      <c r="A2404" s="2" t="s">
        <v>2516</v>
      </c>
      <c r="B2404" s="2" t="s">
        <v>2527</v>
      </c>
      <c r="C2404" s="2" t="s">
        <v>2528</v>
      </c>
      <c r="D2404" s="3" t="str">
        <f>HYPERLINK("https://12go.asia/en/travel/banaswadi/kanhangad", "12Go Link")</f>
        <v>12Go Link</v>
      </c>
      <c r="E2404" s="2" t="s">
        <v>77</v>
      </c>
    </row>
    <row r="2405">
      <c r="A2405" s="2" t="s">
        <v>2516</v>
      </c>
      <c r="B2405" s="2" t="s">
        <v>2527</v>
      </c>
      <c r="C2405" s="2" t="s">
        <v>2529</v>
      </c>
      <c r="D2405" s="3" t="str">
        <f>HYPERLINK("https://12go.asia/en/travel/new-bengaluru-terminal/kanhangad", "12Go Link")</f>
        <v>12Go Link</v>
      </c>
      <c r="E2405" s="2" t="s">
        <v>77</v>
      </c>
    </row>
    <row r="2406">
      <c r="A2406" s="2" t="s">
        <v>2516</v>
      </c>
      <c r="B2406" s="2" t="s">
        <v>2530</v>
      </c>
      <c r="C2406" s="2" t="s">
        <v>2531</v>
      </c>
      <c r="D2406" s="3" t="str">
        <f>HYPERLINK("https://12go.asia/en/travel/new-bengaluru-terminal/kannur", "12Go Link")</f>
        <v>12Go Link</v>
      </c>
      <c r="E2406" s="2" t="s">
        <v>77</v>
      </c>
    </row>
    <row r="2407">
      <c r="A2407" s="2" t="s">
        <v>2516</v>
      </c>
      <c r="B2407" s="2" t="s">
        <v>2532</v>
      </c>
      <c r="C2407" s="2" t="s">
        <v>2533</v>
      </c>
      <c r="D2407" s="3" t="str">
        <f>HYPERLINK("https://12go.asia/en/travel/yesvantpur/kanyakumari", "12Go Link")</f>
        <v>12Go Link</v>
      </c>
      <c r="E2407" s="2" t="s">
        <v>77</v>
      </c>
    </row>
    <row r="2408">
      <c r="A2408" s="2" t="s">
        <v>2516</v>
      </c>
      <c r="B2408" s="2" t="s">
        <v>2534</v>
      </c>
      <c r="C2408" s="2" t="s">
        <v>2535</v>
      </c>
      <c r="D2408" s="3" t="str">
        <f>HYPERLINK("https://12go.asia/en/travel/banaswadi/karur", "12Go Link")</f>
        <v>12Go Link</v>
      </c>
      <c r="E2408" s="2" t="s">
        <v>77</v>
      </c>
    </row>
    <row r="2409">
      <c r="A2409" s="2" t="s">
        <v>2516</v>
      </c>
      <c r="B2409" s="2" t="s">
        <v>2402</v>
      </c>
      <c r="C2409" s="2" t="s">
        <v>2536</v>
      </c>
      <c r="D2409" s="3" t="str">
        <f>HYPERLINK("https://12go.asia/en/travel/ksr-bangalore/manmad-junction", "12Go Link")</f>
        <v>12Go Link</v>
      </c>
      <c r="E2409" s="2" t="s">
        <v>77</v>
      </c>
    </row>
    <row r="2410">
      <c r="A2410" s="2" t="s">
        <v>2516</v>
      </c>
      <c r="B2410" s="2" t="s">
        <v>2537</v>
      </c>
      <c r="C2410" s="2" t="s">
        <v>2538</v>
      </c>
      <c r="D2410" s="3" t="str">
        <f>HYPERLINK("https://12go.asia/en/travel/yesvantpur/nagercoil-jn", "12Go Link")</f>
        <v>12Go Link</v>
      </c>
      <c r="E2410" s="2" t="s">
        <v>77</v>
      </c>
    </row>
    <row r="2411">
      <c r="A2411" s="2" t="s">
        <v>2516</v>
      </c>
      <c r="B2411" s="2" t="s">
        <v>2539</v>
      </c>
      <c r="C2411" s="2" t="s">
        <v>2540</v>
      </c>
      <c r="D2411" s="3" t="str">
        <f>HYPERLINK("https://12go.asia/en/travel/yesvantpur/nanded", "12Go Link")</f>
        <v>12Go Link</v>
      </c>
      <c r="E2411" s="2" t="s">
        <v>77</v>
      </c>
    </row>
    <row r="2412">
      <c r="A2412" s="2" t="s">
        <v>2516</v>
      </c>
      <c r="B2412" s="2" t="s">
        <v>2541</v>
      </c>
      <c r="C2412" s="2" t="s">
        <v>2542</v>
      </c>
      <c r="D2412" s="3" t="str">
        <f>HYPERLINK("https://12go.asia/en/travel/yesvantpur/nizamabad", "12Go Link")</f>
        <v>12Go Link</v>
      </c>
      <c r="E2412" s="2" t="s">
        <v>77</v>
      </c>
    </row>
    <row r="2413">
      <c r="A2413" s="2" t="s">
        <v>2516</v>
      </c>
      <c r="B2413" s="2" t="s">
        <v>2543</v>
      </c>
      <c r="C2413" s="2" t="s">
        <v>2544</v>
      </c>
      <c r="D2413" s="3" t="str">
        <f>HYPERLINK("https://12go.asia/en/travel/new-bengaluru-terminal/samalkot-junction", "12Go Link")</f>
        <v>12Go Link</v>
      </c>
      <c r="E2413" s="2" t="s">
        <v>77</v>
      </c>
    </row>
    <row r="2414">
      <c r="A2414" s="2" t="s">
        <v>2516</v>
      </c>
      <c r="B2414" s="2" t="s">
        <v>2545</v>
      </c>
      <c r="C2414" s="2" t="s">
        <v>2546</v>
      </c>
      <c r="D2414" s="3" t="str">
        <f>HYPERLINK("https://12go.asia/en/travel/bangalore/sattur", "12Go Link")</f>
        <v>12Go Link</v>
      </c>
      <c r="E2414" s="2" t="s">
        <v>25</v>
      </c>
    </row>
    <row r="2415">
      <c r="A2415" s="2" t="s">
        <v>2516</v>
      </c>
      <c r="B2415" s="2" t="s">
        <v>2279</v>
      </c>
      <c r="C2415" s="2" t="s">
        <v>2547</v>
      </c>
      <c r="D2415" s="3" t="str">
        <f>HYPERLINK("https://12go.asia/en/travel/bangalore/vrindavan", "12Go Link")</f>
        <v>12Go Link</v>
      </c>
      <c r="E2415" s="2" t="s">
        <v>77</v>
      </c>
    </row>
    <row r="2416">
      <c r="A2416" s="2" t="s">
        <v>2391</v>
      </c>
      <c r="B2416" s="2" t="s">
        <v>2397</v>
      </c>
      <c r="C2416" s="2" t="s">
        <v>2548</v>
      </c>
      <c r="D2416" s="3" t="str">
        <f>HYPERLINK("https://12go.asia/en/travel/barauni-junction/surat", "12Go Link")</f>
        <v>12Go Link</v>
      </c>
      <c r="E2416" s="2" t="s">
        <v>77</v>
      </c>
    </row>
    <row r="2417">
      <c r="A2417" s="2" t="s">
        <v>2391</v>
      </c>
      <c r="B2417" s="2" t="s">
        <v>2397</v>
      </c>
      <c r="C2417" s="2" t="s">
        <v>2549</v>
      </c>
      <c r="D2417" s="3" t="str">
        <f>HYPERLINK("https://12go.asia/en/travel/barauni/surat", "12Go Link")</f>
        <v>12Go Link</v>
      </c>
      <c r="E2417" s="2" t="s">
        <v>77</v>
      </c>
    </row>
    <row r="2418">
      <c r="A2418" s="2" t="s">
        <v>2411</v>
      </c>
      <c r="B2418" s="2" t="s">
        <v>2550</v>
      </c>
      <c r="C2418" s="2" t="s">
        <v>2551</v>
      </c>
      <c r="D2418" s="3" t="str">
        <f>HYPERLINK("https://12go.asia/en/travel/barddhaman-junction/deen-dayal-upadhyaya-jn", "12Go Link")</f>
        <v>12Go Link</v>
      </c>
      <c r="E2418" s="2" t="s">
        <v>77</v>
      </c>
    </row>
    <row r="2419">
      <c r="A2419" s="2" t="s">
        <v>2477</v>
      </c>
      <c r="B2419" s="2" t="s">
        <v>2552</v>
      </c>
      <c r="C2419" s="2" t="s">
        <v>2553</v>
      </c>
      <c r="D2419" s="3" t="str">
        <f>HYPERLINK("https://12go.asia/en/travel/bareilly/guwahati", "12Go Link")</f>
        <v>12Go Link</v>
      </c>
      <c r="E2419" s="2" t="s">
        <v>77</v>
      </c>
    </row>
    <row r="2420">
      <c r="A2420" s="2" t="s">
        <v>2477</v>
      </c>
      <c r="B2420" s="2" t="s">
        <v>2377</v>
      </c>
      <c r="C2420" s="2" t="s">
        <v>2554</v>
      </c>
      <c r="D2420" s="3" t="str">
        <f>HYPERLINK("https://12go.asia/en/travel/bareilly/prayag", "12Go Link")</f>
        <v>12Go Link</v>
      </c>
      <c r="E2420" s="2" t="s">
        <v>77</v>
      </c>
    </row>
    <row r="2421">
      <c r="A2421" s="2" t="s">
        <v>2555</v>
      </c>
      <c r="B2421" s="2" t="s">
        <v>2556</v>
      </c>
      <c r="C2421" s="2" t="s">
        <v>2557</v>
      </c>
      <c r="D2421" s="3" t="str">
        <f>HYPERLINK("https://12go.asia/en/travel/barnala/shri-ganganagar", "12Go Link")</f>
        <v>12Go Link</v>
      </c>
      <c r="E2421" s="2" t="s">
        <v>77</v>
      </c>
    </row>
    <row r="2422">
      <c r="A2422" s="2" t="s">
        <v>2286</v>
      </c>
      <c r="B2422" s="2" t="s">
        <v>2380</v>
      </c>
      <c r="C2422" s="2" t="s">
        <v>2558</v>
      </c>
      <c r="D2422" s="3" t="str">
        <f>HYPERLINK("https://12go.asia/en/travel/bathinda/haridwar-jn", "12Go Link")</f>
        <v>12Go Link</v>
      </c>
      <c r="E2422" s="2" t="s">
        <v>77</v>
      </c>
    </row>
    <row r="2423">
      <c r="A2423" s="2" t="s">
        <v>2286</v>
      </c>
      <c r="B2423" s="2" t="s">
        <v>2373</v>
      </c>
      <c r="C2423" s="2" t="s">
        <v>2559</v>
      </c>
      <c r="D2423" s="3" t="str">
        <f>HYPERLINK("https://12go.asia/en/travel/bathinda/jammu-and-kashmir", "12Go Link")</f>
        <v>12Go Link</v>
      </c>
      <c r="E2423" s="2" t="s">
        <v>77</v>
      </c>
    </row>
    <row r="2424">
      <c r="A2424" s="2" t="s">
        <v>2286</v>
      </c>
      <c r="B2424" s="2" t="s">
        <v>2434</v>
      </c>
      <c r="C2424" s="2" t="s">
        <v>2560</v>
      </c>
      <c r="D2424" s="3" t="str">
        <f>HYPERLINK("https://12go.asia/en/travel/bathinda/maharashtra", "12Go Link")</f>
        <v>12Go Link</v>
      </c>
      <c r="E2424" s="2" t="s">
        <v>77</v>
      </c>
    </row>
    <row r="2425">
      <c r="A2425" s="2" t="s">
        <v>2286</v>
      </c>
      <c r="B2425" s="2" t="s">
        <v>2561</v>
      </c>
      <c r="C2425" s="2" t="s">
        <v>2562</v>
      </c>
      <c r="D2425" s="3" t="str">
        <f>HYPERLINK("https://12go.asia/en/travel/bathinda/uttarakhand", "12Go Link")</f>
        <v>12Go Link</v>
      </c>
      <c r="E2425" s="2" t="s">
        <v>77</v>
      </c>
    </row>
    <row r="2426">
      <c r="A2426" s="2" t="s">
        <v>2563</v>
      </c>
      <c r="B2426" s="2" t="s">
        <v>2509</v>
      </c>
      <c r="C2426" s="2" t="s">
        <v>2564</v>
      </c>
      <c r="D2426" s="3" t="str">
        <f>HYPERLINK("https://12go.asia/en/travel/bayana/tundla", "12Go Link")</f>
        <v>12Go Link</v>
      </c>
      <c r="E2426" s="2" t="s">
        <v>77</v>
      </c>
    </row>
    <row r="2427">
      <c r="A2427" s="2" t="s">
        <v>2565</v>
      </c>
      <c r="B2427" s="2" t="s">
        <v>2289</v>
      </c>
      <c r="C2427" s="2" t="s">
        <v>2566</v>
      </c>
      <c r="D2427" s="3" t="str">
        <f>HYPERLINK("https://12go.asia/en/travel/begu-sarai/delhi-cantt", "12Go Link")</f>
        <v>12Go Link</v>
      </c>
      <c r="E2427" s="2" t="s">
        <v>77</v>
      </c>
    </row>
    <row r="2428">
      <c r="A2428" s="2" t="s">
        <v>2565</v>
      </c>
      <c r="B2428" s="2" t="s">
        <v>2408</v>
      </c>
      <c r="C2428" s="2" t="s">
        <v>2567</v>
      </c>
      <c r="D2428" s="3" t="str">
        <f>HYPERLINK("https://12go.asia/en/travel/begu-sarai/new-delhi", "12Go Link")</f>
        <v>12Go Link</v>
      </c>
      <c r="E2428" s="2" t="s">
        <v>77</v>
      </c>
    </row>
    <row r="2429">
      <c r="A2429" s="2" t="s">
        <v>2565</v>
      </c>
      <c r="B2429" s="2" t="s">
        <v>2408</v>
      </c>
      <c r="C2429" s="2" t="s">
        <v>2568</v>
      </c>
      <c r="D2429" s="3" t="str">
        <f>HYPERLINK("https://12go.asia/en/travel/begusarai/new-delhi", "12Go Link")</f>
        <v>12Go Link</v>
      </c>
      <c r="E2429" s="2" t="s">
        <v>77</v>
      </c>
    </row>
    <row r="2430">
      <c r="A2430" s="2" t="s">
        <v>2569</v>
      </c>
      <c r="B2430" s="2" t="s">
        <v>2570</v>
      </c>
      <c r="C2430" s="2" t="s">
        <v>2571</v>
      </c>
      <c r="D2430" s="3" t="str">
        <f>HYPERLINK("https://12go.asia/en/travel/bharuch-junction/abu-road", "12Go Link")</f>
        <v>12Go Link</v>
      </c>
      <c r="E2430" s="2" t="s">
        <v>77</v>
      </c>
    </row>
    <row r="2431">
      <c r="A2431" s="2" t="s">
        <v>2572</v>
      </c>
      <c r="B2431" s="2" t="s">
        <v>2495</v>
      </c>
      <c r="C2431" s="2" t="s">
        <v>2573</v>
      </c>
      <c r="D2431" s="3" t="str">
        <f>HYPERLINK("https://12go.asia/en/travel/bhopal/ballarpur", "12Go Link")</f>
        <v>12Go Link</v>
      </c>
      <c r="E2431" s="2" t="s">
        <v>77</v>
      </c>
    </row>
    <row r="2432">
      <c r="A2432" s="2" t="s">
        <v>2572</v>
      </c>
      <c r="B2432" s="2" t="s">
        <v>2574</v>
      </c>
      <c r="C2432" s="2" t="s">
        <v>2575</v>
      </c>
      <c r="D2432" s="3" t="str">
        <f>HYPERLINK("https://12go.asia/en/travel/bhopal/mau", "12Go Link")</f>
        <v>12Go Link</v>
      </c>
      <c r="E2432" s="2" t="s">
        <v>77</v>
      </c>
    </row>
    <row r="2433">
      <c r="A2433" s="2" t="s">
        <v>2572</v>
      </c>
      <c r="B2433" s="2" t="s">
        <v>2574</v>
      </c>
      <c r="C2433" s="2" t="s">
        <v>2576</v>
      </c>
      <c r="D2433" s="3" t="str">
        <f>HYPERLINK("https://12go.asia/en/travel/rani-kamalapati/mau-junction", "12Go Link")</f>
        <v>12Go Link</v>
      </c>
      <c r="E2433" s="2" t="s">
        <v>77</v>
      </c>
    </row>
    <row r="2434">
      <c r="A2434" s="2" t="s">
        <v>2577</v>
      </c>
      <c r="B2434" s="2" t="s">
        <v>2578</v>
      </c>
      <c r="C2434" s="2" t="s">
        <v>2579</v>
      </c>
      <c r="D2434" s="3" t="str">
        <f>HYPERLINK("https://12go.asia/en/travel/bhubaneswar/banspani", "12Go Link")</f>
        <v>12Go Link</v>
      </c>
      <c r="E2434" s="2" t="s">
        <v>77</v>
      </c>
    </row>
    <row r="2435">
      <c r="A2435" s="2" t="s">
        <v>2580</v>
      </c>
      <c r="B2435" s="2" t="s">
        <v>2289</v>
      </c>
      <c r="C2435" s="2" t="s">
        <v>2581</v>
      </c>
      <c r="D2435" s="3" t="str">
        <f>HYPERLINK("https://12go.asia/en/travel/bihiya/delhi", "12Go Link")</f>
        <v>12Go Link</v>
      </c>
      <c r="E2435" s="2" t="s">
        <v>77</v>
      </c>
    </row>
    <row r="2436">
      <c r="A2436" s="2" t="s">
        <v>2580</v>
      </c>
      <c r="B2436" s="2" t="s">
        <v>2408</v>
      </c>
      <c r="C2436" s="2" t="s">
        <v>2582</v>
      </c>
      <c r="D2436" s="3" t="str">
        <f>HYPERLINK("https://12go.asia/en/travel/bihiya/new-delhi", "12Go Link")</f>
        <v>12Go Link</v>
      </c>
      <c r="E2436" s="2" t="s">
        <v>77</v>
      </c>
    </row>
    <row r="2437">
      <c r="A2437" s="2" t="s">
        <v>2583</v>
      </c>
      <c r="B2437" s="2" t="s">
        <v>2584</v>
      </c>
      <c r="C2437" s="2" t="s">
        <v>2585</v>
      </c>
      <c r="D2437" s="3" t="str">
        <f>HYPERLINK("https://12go.asia/en/travel/birur-junction/vasco-da-gama", "12Go Link")</f>
        <v>12Go Link</v>
      </c>
      <c r="E2437" s="2" t="s">
        <v>77</v>
      </c>
    </row>
    <row r="2438">
      <c r="A2438" s="2" t="s">
        <v>2583</v>
      </c>
      <c r="B2438" s="2" t="s">
        <v>2584</v>
      </c>
      <c r="C2438" s="2" t="s">
        <v>2586</v>
      </c>
      <c r="D2438" s="3" t="str">
        <f>HYPERLINK("https://12go.asia/en/travel/birur/goa", "12Go Link")</f>
        <v>12Go Link</v>
      </c>
      <c r="E2438" s="2" t="s">
        <v>77</v>
      </c>
    </row>
    <row r="2439">
      <c r="A2439" s="2" t="s">
        <v>2583</v>
      </c>
      <c r="B2439" s="2" t="s">
        <v>2587</v>
      </c>
      <c r="C2439" s="2" t="s">
        <v>2588</v>
      </c>
      <c r="D2439" s="3" t="str">
        <f>HYPERLINK("https://12go.asia/en/travel/birur-junction/mysore-jn", "12Go Link")</f>
        <v>12Go Link</v>
      </c>
      <c r="E2439" s="2" t="s">
        <v>77</v>
      </c>
    </row>
    <row r="2440">
      <c r="A2440" s="2" t="s">
        <v>2583</v>
      </c>
      <c r="B2440" s="2" t="s">
        <v>2587</v>
      </c>
      <c r="C2440" s="2" t="s">
        <v>2589</v>
      </c>
      <c r="D2440" s="3" t="str">
        <f>HYPERLINK("https://12go.asia/en/travel/birur/mysore", "12Go Link")</f>
        <v>12Go Link</v>
      </c>
      <c r="E2440" s="2" t="s">
        <v>77</v>
      </c>
    </row>
    <row r="2441">
      <c r="A2441" s="2" t="s">
        <v>2590</v>
      </c>
      <c r="B2441" s="2" t="s">
        <v>2356</v>
      </c>
      <c r="C2441" s="2" t="s">
        <v>2591</v>
      </c>
      <c r="D2441" s="3" t="str">
        <f>HYPERLINK("https://12go.asia/en/travel/boisar/daman", "12Go Link")</f>
        <v>12Go Link</v>
      </c>
      <c r="E2441" s="2" t="s">
        <v>77</v>
      </c>
    </row>
    <row r="2442">
      <c r="A2442" s="2" t="s">
        <v>2590</v>
      </c>
      <c r="B2442" s="2" t="s">
        <v>2584</v>
      </c>
      <c r="C2442" s="2" t="s">
        <v>2592</v>
      </c>
      <c r="D2442" s="3" t="str">
        <f>HYPERLINK("https://12go.asia/en/travel/boisar/goa", "12Go Link")</f>
        <v>12Go Link</v>
      </c>
      <c r="E2442" s="2" t="s">
        <v>77</v>
      </c>
    </row>
    <row r="2443">
      <c r="A2443" s="2" t="s">
        <v>2590</v>
      </c>
      <c r="B2443" s="2" t="s">
        <v>2584</v>
      </c>
      <c r="C2443" s="2" t="s">
        <v>2593</v>
      </c>
      <c r="D2443" s="3" t="str">
        <f>HYPERLINK("https://12go.asia/en/travel/boisar/madgaon", "12Go Link")</f>
        <v>12Go Link</v>
      </c>
      <c r="E2443" s="2" t="s">
        <v>77</v>
      </c>
    </row>
    <row r="2444">
      <c r="A2444" s="2" t="s">
        <v>2590</v>
      </c>
      <c r="B2444" s="2" t="s">
        <v>2453</v>
      </c>
      <c r="C2444" s="2" t="s">
        <v>2594</v>
      </c>
      <c r="D2444" s="3" t="str">
        <f>HYPERLINK("https://12go.asia/en/travel/boisar/margao", "12Go Link")</f>
        <v>12Go Link</v>
      </c>
      <c r="E2444" s="2" t="s">
        <v>77</v>
      </c>
    </row>
    <row r="2445">
      <c r="A2445" s="2" t="s">
        <v>2590</v>
      </c>
      <c r="B2445" s="2" t="s">
        <v>2367</v>
      </c>
      <c r="C2445" s="2" t="s">
        <v>2595</v>
      </c>
      <c r="D2445" s="3" t="str">
        <f>HYPERLINK("https://12go.asia/en/travel/boisar/vapi", "12Go Link")</f>
        <v>12Go Link</v>
      </c>
      <c r="E2445" s="2" t="s">
        <v>77</v>
      </c>
    </row>
    <row r="2446">
      <c r="A2446" s="2" t="s">
        <v>2596</v>
      </c>
      <c r="B2446" s="2" t="s">
        <v>2597</v>
      </c>
      <c r="C2446" s="2" t="s">
        <v>2598</v>
      </c>
      <c r="D2446" s="3" t="str">
        <f>HYPERLINK("https://12go.asia/en/travel/bokaro-steel-city/chandrapura", "12Go Link")</f>
        <v>12Go Link</v>
      </c>
      <c r="E2446" s="2" t="s">
        <v>77</v>
      </c>
    </row>
    <row r="2447">
      <c r="A2447" s="2" t="s">
        <v>2599</v>
      </c>
      <c r="B2447" s="2" t="s">
        <v>2600</v>
      </c>
      <c r="C2447" s="2" t="s">
        <v>2601</v>
      </c>
      <c r="D2447" s="3" t="str">
        <f>HYPERLINK("https://12go.asia/en/travel/bolpur-santiniketan/jalpaiguri", "12Go Link")</f>
        <v>12Go Link</v>
      </c>
      <c r="E2447" s="2" t="s">
        <v>77</v>
      </c>
    </row>
    <row r="2448">
      <c r="A2448" s="2" t="s">
        <v>2599</v>
      </c>
      <c r="B2448" s="2" t="s">
        <v>2600</v>
      </c>
      <c r="C2448" s="2" t="s">
        <v>2602</v>
      </c>
      <c r="D2448" s="3" t="str">
        <f>HYPERLINK("https://12go.asia/en/travel/bolpur-shantiniketan/jalpaiguri", "12Go Link")</f>
        <v>12Go Link</v>
      </c>
      <c r="E2448" s="2" t="s">
        <v>77</v>
      </c>
    </row>
    <row r="2449">
      <c r="A2449" s="2" t="s">
        <v>2603</v>
      </c>
      <c r="B2449" s="2" t="s">
        <v>2604</v>
      </c>
      <c r="C2449" s="2" t="s">
        <v>2605</v>
      </c>
      <c r="D2449" s="3" t="str">
        <f>HYPERLINK("https://12go.asia/en/travel/bommidi/chennai-central", "12Go Link")</f>
        <v>12Go Link</v>
      </c>
      <c r="E2449" s="2" t="s">
        <v>77</v>
      </c>
    </row>
    <row r="2450">
      <c r="A2450" s="2" t="s">
        <v>2606</v>
      </c>
      <c r="B2450" s="2" t="s">
        <v>2607</v>
      </c>
      <c r="C2450" s="2" t="s">
        <v>2608</v>
      </c>
      <c r="D2450" s="3" t="str">
        <f>HYPERLINK("https://12go.asia/en/travel/borivali/pali-marwar", "12Go Link")</f>
        <v>12Go Link</v>
      </c>
      <c r="E2450" s="2" t="s">
        <v>77</v>
      </c>
    </row>
    <row r="2451">
      <c r="A2451" s="2" t="s">
        <v>2606</v>
      </c>
      <c r="B2451" s="2" t="s">
        <v>2607</v>
      </c>
      <c r="C2451" s="2" t="s">
        <v>2609</v>
      </c>
      <c r="D2451" s="3" t="str">
        <f>HYPERLINK("https://12go.asia/en/travel/borivali/pali-rajasthan", "12Go Link")</f>
        <v>12Go Link</v>
      </c>
      <c r="E2451" s="2" t="s">
        <v>77</v>
      </c>
    </row>
    <row r="2452">
      <c r="A2452" s="2" t="s">
        <v>2610</v>
      </c>
      <c r="B2452" s="2" t="s">
        <v>2413</v>
      </c>
      <c r="C2452" s="2" t="s">
        <v>2611</v>
      </c>
      <c r="D2452" s="3" t="str">
        <f>HYPERLINK("https://12go.asia/en/travel/brahmapur/andhra-pradesh", "12Go Link")</f>
        <v>12Go Link</v>
      </c>
      <c r="E2452" s="2" t="s">
        <v>25</v>
      </c>
    </row>
    <row r="2453">
      <c r="A2453" s="2" t="s">
        <v>2610</v>
      </c>
      <c r="B2453" s="2" t="s">
        <v>2612</v>
      </c>
      <c r="C2453" s="2" t="s">
        <v>2613</v>
      </c>
      <c r="D2453" s="3" t="str">
        <f>HYPERLINK("https://12go.asia/en/travel/brahmapur/koraput-junction", "12Go Link")</f>
        <v>12Go Link</v>
      </c>
      <c r="E2453" s="2" t="s">
        <v>77</v>
      </c>
    </row>
    <row r="2454">
      <c r="A2454" s="2" t="s">
        <v>2610</v>
      </c>
      <c r="B2454" s="2" t="s">
        <v>2612</v>
      </c>
      <c r="C2454" s="2" t="s">
        <v>2614</v>
      </c>
      <c r="D2454" s="3" t="str">
        <f>HYPERLINK("https://12go.asia/en/travel/brahmapur/koraput", "12Go Link")</f>
        <v>12Go Link</v>
      </c>
      <c r="E2454" s="2" t="s">
        <v>77</v>
      </c>
    </row>
    <row r="2455">
      <c r="A2455" s="2" t="s">
        <v>2610</v>
      </c>
      <c r="B2455" s="2" t="s">
        <v>2423</v>
      </c>
      <c r="C2455" s="2" t="s">
        <v>2615</v>
      </c>
      <c r="D2455" s="3" t="str">
        <f>HYPERLINK("https://12go.asia/en/travel/berhampur/vijayawada", "12Go Link")</f>
        <v>12Go Link</v>
      </c>
      <c r="E2455" s="2" t="s">
        <v>25</v>
      </c>
    </row>
    <row r="2456">
      <c r="A2456" s="2" t="s">
        <v>2610</v>
      </c>
      <c r="B2456" s="2" t="s">
        <v>2423</v>
      </c>
      <c r="C2456" s="2" t="s">
        <v>2616</v>
      </c>
      <c r="D2456" s="3" t="str">
        <f>HYPERLINK("https://12go.asia/en/travel/brahmapur/vijayawada", "12Go Link")</f>
        <v>12Go Link</v>
      </c>
      <c r="E2456" s="2" t="s">
        <v>25</v>
      </c>
    </row>
    <row r="2457">
      <c r="A2457" s="2" t="s">
        <v>2617</v>
      </c>
      <c r="B2457" s="2" t="s">
        <v>2618</v>
      </c>
      <c r="C2457" s="2" t="s">
        <v>2619</v>
      </c>
      <c r="D2457" s="3" t="str">
        <f>HYPERLINK("https://12go.asia/en/travel/burhanpur/habibganj", "12Go Link")</f>
        <v>12Go Link</v>
      </c>
      <c r="E2457" s="2" t="s">
        <v>77</v>
      </c>
    </row>
    <row r="2458">
      <c r="A2458" s="2" t="s">
        <v>2617</v>
      </c>
      <c r="B2458" s="2" t="s">
        <v>2620</v>
      </c>
      <c r="C2458" s="2" t="s">
        <v>2621</v>
      </c>
      <c r="D2458" s="3" t="str">
        <f>HYPERLINK("https://12go.asia/en/travel/burhanpur/itarsi", "12Go Link")</f>
        <v>12Go Link</v>
      </c>
      <c r="E2458" s="2" t="s">
        <v>77</v>
      </c>
    </row>
    <row r="2459">
      <c r="A2459" s="2" t="s">
        <v>2622</v>
      </c>
      <c r="B2459" s="2" t="s">
        <v>2623</v>
      </c>
      <c r="C2459" s="2" t="s">
        <v>2624</v>
      </c>
      <c r="D2459" s="3" t="str">
        <f>HYPERLINK("https://12go.asia/en/travel/canacona-goa/karwar", "12Go Link")</f>
        <v>12Go Link</v>
      </c>
      <c r="E2459" s="2" t="s">
        <v>77</v>
      </c>
    </row>
    <row r="2460">
      <c r="A2460" s="2" t="s">
        <v>2625</v>
      </c>
      <c r="B2460" s="2" t="s">
        <v>2626</v>
      </c>
      <c r="C2460" s="2" t="s">
        <v>2627</v>
      </c>
      <c r="D2460" s="3" t="str">
        <f>HYPERLINK("https://12go.asia/en/travel/chakradharpur/west-bengal", "12Go Link")</f>
        <v>12Go Link</v>
      </c>
      <c r="E2460" s="2" t="s">
        <v>77</v>
      </c>
    </row>
    <row r="2461">
      <c r="A2461" s="2" t="s">
        <v>2628</v>
      </c>
      <c r="B2461" s="2" t="s">
        <v>2629</v>
      </c>
      <c r="C2461" s="2" t="s">
        <v>2630</v>
      </c>
      <c r="D2461" s="3" t="str">
        <f>HYPERLINK("https://12go.asia/en/travel/chandigarh/dausa", "12Go Link")</f>
        <v>12Go Link</v>
      </c>
      <c r="E2461" s="2" t="s">
        <v>77</v>
      </c>
    </row>
    <row r="2462">
      <c r="A2462" s="2" t="s">
        <v>2628</v>
      </c>
      <c r="B2462" s="2" t="s">
        <v>2631</v>
      </c>
      <c r="C2462" s="2" t="s">
        <v>2632</v>
      </c>
      <c r="D2462" s="3" t="str">
        <f>HYPERLINK("https://12go.asia/en/travel/chandigarh/loni", "12Go Link")</f>
        <v>12Go Link</v>
      </c>
      <c r="E2462" s="2" t="s">
        <v>77</v>
      </c>
    </row>
    <row r="2463">
      <c r="A2463" s="2" t="s">
        <v>2628</v>
      </c>
      <c r="B2463" s="2" t="s">
        <v>2633</v>
      </c>
      <c r="C2463" s="2" t="s">
        <v>2634</v>
      </c>
      <c r="D2463" s="3" t="str">
        <f>HYPERLINK("https://12go.asia/en/travel/chandigarh/madurai", "12Go Link")</f>
        <v>12Go Link</v>
      </c>
      <c r="E2463" s="2" t="s">
        <v>77</v>
      </c>
    </row>
    <row r="2464">
      <c r="A2464" s="2" t="s">
        <v>2628</v>
      </c>
      <c r="B2464" s="2" t="s">
        <v>2633</v>
      </c>
      <c r="C2464" s="2" t="s">
        <v>2635</v>
      </c>
      <c r="D2464" s="3" t="str">
        <f>HYPERLINK("https://12go.asia/en/travel/chandigarh/madurai-junction", "12Go Link")</f>
        <v>12Go Link</v>
      </c>
      <c r="E2464" s="2" t="s">
        <v>77</v>
      </c>
    </row>
    <row r="2465">
      <c r="A2465" s="2" t="s">
        <v>2628</v>
      </c>
      <c r="B2465" s="2" t="s">
        <v>2636</v>
      </c>
      <c r="C2465" s="2" t="s">
        <v>2637</v>
      </c>
      <c r="D2465" s="3" t="str">
        <f>HYPERLINK("https://12go.asia/en/travel/chandigarh/sonipat", "12Go Link")</f>
        <v>12Go Link</v>
      </c>
      <c r="E2465" s="2" t="s">
        <v>77</v>
      </c>
    </row>
    <row r="2466">
      <c r="A2466" s="2" t="s">
        <v>2628</v>
      </c>
      <c r="B2466" s="2" t="s">
        <v>2550</v>
      </c>
      <c r="C2466" s="2" t="s">
        <v>2638</v>
      </c>
      <c r="D2466" s="3" t="str">
        <f>HYPERLINK("https://12go.asia/en/travel/chandigarh/deen-dayal-upadhyaya-jn", "12Go Link")</f>
        <v>12Go Link</v>
      </c>
      <c r="E2466" s="2" t="s">
        <v>77</v>
      </c>
    </row>
    <row r="2467">
      <c r="A2467" s="2" t="s">
        <v>2639</v>
      </c>
      <c r="B2467" s="2" t="s">
        <v>2416</v>
      </c>
      <c r="C2467" s="2" t="s">
        <v>2640</v>
      </c>
      <c r="D2467" s="3" t="str">
        <f>HYPERLINK("https://12go.asia/en/travel/chandipur/hyderabad", "12Go Link")</f>
        <v>12Go Link</v>
      </c>
      <c r="E2467" s="2" t="s">
        <v>77</v>
      </c>
    </row>
    <row r="2468">
      <c r="A2468" s="2" t="s">
        <v>2639</v>
      </c>
      <c r="B2468" s="2" t="s">
        <v>2641</v>
      </c>
      <c r="C2468" s="2" t="s">
        <v>2642</v>
      </c>
      <c r="D2468" s="3" t="str">
        <f>HYPERLINK("https://12go.asia/en/travel/chandipur/telangana", "12Go Link")</f>
        <v>12Go Link</v>
      </c>
      <c r="E2468" s="2" t="s">
        <v>77</v>
      </c>
    </row>
    <row r="2469">
      <c r="A2469" s="2" t="s">
        <v>2643</v>
      </c>
      <c r="B2469" s="2" t="s">
        <v>2289</v>
      </c>
      <c r="C2469" s="2" t="s">
        <v>2644</v>
      </c>
      <c r="D2469" s="3" t="str">
        <f>HYPERLINK("https://12go.asia/en/travel/chandrapur/delhi", "12Go Link")</f>
        <v>12Go Link</v>
      </c>
      <c r="E2469" s="2" t="s">
        <v>77</v>
      </c>
    </row>
    <row r="2470">
      <c r="A2470" s="2" t="s">
        <v>2643</v>
      </c>
      <c r="B2470" s="2" t="s">
        <v>2289</v>
      </c>
      <c r="C2470" s="2" t="s">
        <v>2645</v>
      </c>
      <c r="D2470" s="3" t="str">
        <f>HYPERLINK("https://12go.asia/en/travel/chandrapur/hazrat-nizamuddin", "12Go Link")</f>
        <v>12Go Link</v>
      </c>
      <c r="E2470" s="2" t="s">
        <v>77</v>
      </c>
    </row>
    <row r="2471">
      <c r="A2471" s="2" t="s">
        <v>2643</v>
      </c>
      <c r="B2471" s="2" t="s">
        <v>2418</v>
      </c>
      <c r="C2471" s="2" t="s">
        <v>2646</v>
      </c>
      <c r="D2471" s="3" t="str">
        <f>HYPERLINK("https://12go.asia/en/travel/chandrapur/mancherial", "12Go Link")</f>
        <v>12Go Link</v>
      </c>
      <c r="E2471" s="2" t="s">
        <v>77</v>
      </c>
    </row>
    <row r="2472">
      <c r="A2472" s="2" t="s">
        <v>2643</v>
      </c>
      <c r="B2472" s="2" t="s">
        <v>2418</v>
      </c>
      <c r="C2472" s="2" t="s">
        <v>2647</v>
      </c>
      <c r="D2472" s="3" t="str">
        <f>HYPERLINK("https://12go.asia/en/travel/chandrapur/manchiryal", "12Go Link")</f>
        <v>12Go Link</v>
      </c>
      <c r="E2472" s="2" t="s">
        <v>77</v>
      </c>
    </row>
    <row r="2473">
      <c r="A2473" s="2" t="s">
        <v>2643</v>
      </c>
      <c r="B2473" s="2" t="s">
        <v>2408</v>
      </c>
      <c r="C2473" s="2" t="s">
        <v>2648</v>
      </c>
      <c r="D2473" s="3" t="str">
        <f>HYPERLINK("https://12go.asia/en/travel/chandrapur/new-delhi", "12Go Link")</f>
        <v>12Go Link</v>
      </c>
      <c r="E2473" s="2" t="s">
        <v>77</v>
      </c>
    </row>
    <row r="2474">
      <c r="A2474" s="2" t="s">
        <v>2649</v>
      </c>
      <c r="B2474" s="2" t="s">
        <v>2650</v>
      </c>
      <c r="C2474" s="2" t="s">
        <v>2651</v>
      </c>
      <c r="D2474" s="3" t="str">
        <f>HYPERLINK("https://12go.asia/en/travel/channapatna/vaniyambadi", "12Go Link")</f>
        <v>12Go Link</v>
      </c>
      <c r="E2474" s="2" t="s">
        <v>77</v>
      </c>
    </row>
    <row r="2475">
      <c r="A2475" s="2" t="s">
        <v>2604</v>
      </c>
      <c r="B2475" s="2" t="s">
        <v>2603</v>
      </c>
      <c r="C2475" s="2" t="s">
        <v>2652</v>
      </c>
      <c r="D2475" s="3" t="str">
        <f>HYPERLINK("https://12go.asia/en/travel/chennai-central/bommidi", "12Go Link")</f>
        <v>12Go Link</v>
      </c>
      <c r="E2475" s="2" t="s">
        <v>77</v>
      </c>
    </row>
    <row r="2476">
      <c r="A2476" s="2" t="s">
        <v>2604</v>
      </c>
      <c r="B2476" s="2" t="s">
        <v>2603</v>
      </c>
      <c r="C2476" s="2" t="s">
        <v>2653</v>
      </c>
      <c r="D2476" s="3" t="str">
        <f>HYPERLINK("https://12go.asia/en/travel/chennai/bommidi", "12Go Link")</f>
        <v>12Go Link</v>
      </c>
      <c r="E2476" s="2" t="s">
        <v>77</v>
      </c>
    </row>
    <row r="2477">
      <c r="A2477" s="2" t="s">
        <v>2604</v>
      </c>
      <c r="B2477" s="2" t="s">
        <v>2654</v>
      </c>
      <c r="C2477" s="2" t="s">
        <v>2655</v>
      </c>
      <c r="D2477" s="3" t="str">
        <f>HYPERLINK("https://12go.asia/en/travel/chennai-egmore/gudur-junction", "12Go Link")</f>
        <v>12Go Link</v>
      </c>
      <c r="E2477" s="2" t="s">
        <v>77</v>
      </c>
    </row>
    <row r="2478">
      <c r="A2478" s="2" t="s">
        <v>2604</v>
      </c>
      <c r="B2478" s="2" t="s">
        <v>2654</v>
      </c>
      <c r="C2478" s="2" t="s">
        <v>2656</v>
      </c>
      <c r="D2478" s="3" t="str">
        <f>HYPERLINK("https://12go.asia/en/travel/perambur/gudur-junction", "12Go Link")</f>
        <v>12Go Link</v>
      </c>
      <c r="E2478" s="2" t="s">
        <v>77</v>
      </c>
    </row>
    <row r="2479">
      <c r="A2479" s="2" t="s">
        <v>2604</v>
      </c>
      <c r="B2479" s="2" t="s">
        <v>2657</v>
      </c>
      <c r="C2479" s="2" t="s">
        <v>2658</v>
      </c>
      <c r="D2479" s="3" t="str">
        <f>HYPERLINK("https://12go.asia/en/travel/chennai-egmore/gwalior-jn", "12Go Link")</f>
        <v>12Go Link</v>
      </c>
      <c r="E2479" s="2" t="s">
        <v>77</v>
      </c>
    </row>
    <row r="2480">
      <c r="A2480" s="2" t="s">
        <v>2604</v>
      </c>
      <c r="B2480" s="2" t="s">
        <v>2659</v>
      </c>
      <c r="C2480" s="2" t="s">
        <v>2660</v>
      </c>
      <c r="D2480" s="3" t="str">
        <f>HYPERLINK("https://12go.asia/en/travel/perambur/kovilpatti", "12Go Link")</f>
        <v>12Go Link</v>
      </c>
      <c r="E2480" s="2" t="s">
        <v>77</v>
      </c>
    </row>
    <row r="2481">
      <c r="A2481" s="2" t="s">
        <v>2604</v>
      </c>
      <c r="B2481" s="2" t="s">
        <v>2661</v>
      </c>
      <c r="C2481" s="2" t="s">
        <v>2662</v>
      </c>
      <c r="D2481" s="3" t="str">
        <f>HYPERLINK("https://12go.asia/en/travel/perambur/nagapattinam-junction", "12Go Link")</f>
        <v>12Go Link</v>
      </c>
      <c r="E2481" s="2" t="s">
        <v>77</v>
      </c>
    </row>
    <row r="2482">
      <c r="A2482" s="2" t="s">
        <v>2604</v>
      </c>
      <c r="B2482" s="2" t="s">
        <v>2663</v>
      </c>
      <c r="C2482" s="2" t="s">
        <v>2664</v>
      </c>
      <c r="D2482" s="3" t="str">
        <f>HYPERLINK("https://12go.asia/en/travel/chennai-central/razampeta", "12Go Link")</f>
        <v>12Go Link</v>
      </c>
      <c r="E2482" s="2" t="s">
        <v>77</v>
      </c>
    </row>
    <row r="2483">
      <c r="A2483" s="2" t="s">
        <v>2604</v>
      </c>
      <c r="B2483" s="2" t="s">
        <v>2663</v>
      </c>
      <c r="C2483" s="2" t="s">
        <v>2665</v>
      </c>
      <c r="D2483" s="3" t="str">
        <f>HYPERLINK("https://12go.asia/en/travel/chennai/razampeta", "12Go Link")</f>
        <v>12Go Link</v>
      </c>
      <c r="E2483" s="2" t="s">
        <v>77</v>
      </c>
    </row>
    <row r="2484">
      <c r="A2484" s="2" t="s">
        <v>2666</v>
      </c>
      <c r="B2484" s="2" t="s">
        <v>2434</v>
      </c>
      <c r="C2484" s="2" t="s">
        <v>2667</v>
      </c>
      <c r="D2484" s="3" t="str">
        <f>HYPERLINK("https://12go.asia/en/travel/chhapra/maharashtra", "12Go Link")</f>
        <v>12Go Link</v>
      </c>
      <c r="E2484" s="2" t="s">
        <v>77</v>
      </c>
    </row>
    <row r="2485">
      <c r="A2485" s="2" t="s">
        <v>2666</v>
      </c>
      <c r="B2485" s="2" t="s">
        <v>2668</v>
      </c>
      <c r="C2485" s="2" t="s">
        <v>2669</v>
      </c>
      <c r="D2485" s="3" t="str">
        <f>HYPERLINK("https://12go.asia/en/travel/chhapra/lokmanya-tilak-term", "12Go Link")</f>
        <v>12Go Link</v>
      </c>
      <c r="E2485" s="2" t="s">
        <v>77</v>
      </c>
    </row>
    <row r="2486">
      <c r="A2486" s="2" t="s">
        <v>2670</v>
      </c>
      <c r="B2486" s="2" t="s">
        <v>2671</v>
      </c>
      <c r="C2486" s="2" t="s">
        <v>2672</v>
      </c>
      <c r="D2486" s="3" t="str">
        <f>HYPERLINK("https://12go.asia/en/travel/chhattisgarh/rajahmundry", "12Go Link")</f>
        <v>12Go Link</v>
      </c>
      <c r="E2486" s="2" t="s">
        <v>77</v>
      </c>
    </row>
    <row r="2487">
      <c r="A2487" s="2" t="s">
        <v>2479</v>
      </c>
      <c r="B2487" s="2" t="s">
        <v>2673</v>
      </c>
      <c r="C2487" s="2" t="s">
        <v>2674</v>
      </c>
      <c r="D2487" s="3" t="str">
        <f>HYPERLINK("https://12go.asia/en/travel/coimbatore/karaikkudi-junction", "12Go Link")</f>
        <v>12Go Link</v>
      </c>
      <c r="E2487" s="2" t="s">
        <v>77</v>
      </c>
    </row>
    <row r="2488">
      <c r="A2488" s="2" t="s">
        <v>2521</v>
      </c>
      <c r="B2488" s="2" t="s">
        <v>2675</v>
      </c>
      <c r="C2488" s="2" t="s">
        <v>2676</v>
      </c>
      <c r="D2488" s="3" t="str">
        <f>HYPERLINK("https://12go.asia/en/travel/cuddalore-port-junction/erode", "12Go Link")</f>
        <v>12Go Link</v>
      </c>
      <c r="E2488" s="2" t="s">
        <v>77</v>
      </c>
    </row>
    <row r="2489">
      <c r="A2489" s="2" t="s">
        <v>2521</v>
      </c>
      <c r="B2489" s="2" t="s">
        <v>2675</v>
      </c>
      <c r="C2489" s="2" t="s">
        <v>2677</v>
      </c>
      <c r="D2489" s="3" t="str">
        <f>HYPERLINK("https://12go.asia/en/travel/cuddalore/erode", "12Go Link")</f>
        <v>12Go Link</v>
      </c>
      <c r="E2489" s="2" t="s">
        <v>77</v>
      </c>
    </row>
    <row r="2490">
      <c r="A2490" s="2" t="s">
        <v>2521</v>
      </c>
      <c r="B2490" s="2" t="s">
        <v>2678</v>
      </c>
      <c r="C2490" s="2" t="s">
        <v>2679</v>
      </c>
      <c r="D2490" s="3" t="str">
        <f>HYPERLINK("https://12go.asia/en/travel/cuddalore-port-junction/hosur", "12Go Link")</f>
        <v>12Go Link</v>
      </c>
      <c r="E2490" s="2" t="s">
        <v>77</v>
      </c>
    </row>
    <row r="2491">
      <c r="A2491" s="2" t="s">
        <v>2521</v>
      </c>
      <c r="B2491" s="2" t="s">
        <v>2678</v>
      </c>
      <c r="C2491" s="2" t="s">
        <v>2680</v>
      </c>
      <c r="D2491" s="3" t="str">
        <f>HYPERLINK("https://12go.asia/en/travel/cuddalore/hosur", "12Go Link")</f>
        <v>12Go Link</v>
      </c>
      <c r="E2491" s="2" t="s">
        <v>77</v>
      </c>
    </row>
    <row r="2492">
      <c r="A2492" s="2" t="s">
        <v>2514</v>
      </c>
      <c r="B2492" s="2" t="s">
        <v>2447</v>
      </c>
      <c r="C2492" s="2" t="s">
        <v>2681</v>
      </c>
      <c r="D2492" s="3" t="str">
        <f>HYPERLINK("https://12go.asia/en/travel/cuttack/tambaram", "12Go Link")</f>
        <v>12Go Link</v>
      </c>
      <c r="E2492" s="2" t="s">
        <v>77</v>
      </c>
    </row>
    <row r="2493">
      <c r="A2493" s="2" t="s">
        <v>2682</v>
      </c>
      <c r="B2493" s="2" t="s">
        <v>2683</v>
      </c>
      <c r="C2493" s="2" t="s">
        <v>2684</v>
      </c>
      <c r="D2493" s="3" t="str">
        <f>HYPERLINK("https://12go.asia/en/travel/dachepalle/lingampalli", "12Go Link")</f>
        <v>12Go Link</v>
      </c>
      <c r="E2493" s="2" t="s">
        <v>77</v>
      </c>
    </row>
    <row r="2494">
      <c r="A2494" s="2" t="s">
        <v>2685</v>
      </c>
      <c r="B2494" s="2" t="s">
        <v>2686</v>
      </c>
      <c r="C2494" s="2" t="s">
        <v>2687</v>
      </c>
      <c r="D2494" s="3" t="str">
        <f>HYPERLINK("https://12go.asia/en/travel/dahod/kalyan", "12Go Link")</f>
        <v>12Go Link</v>
      </c>
      <c r="E2494" s="2" t="s">
        <v>77</v>
      </c>
    </row>
    <row r="2495">
      <c r="A2495" s="2" t="s">
        <v>2685</v>
      </c>
      <c r="B2495" s="2" t="s">
        <v>2686</v>
      </c>
      <c r="C2495" s="2" t="s">
        <v>2688</v>
      </c>
      <c r="D2495" s="3" t="str">
        <f>HYPERLINK("https://12go.asia/en/travel/dahod/kalyan-jn", "12Go Link")</f>
        <v>12Go Link</v>
      </c>
      <c r="E2495" s="2" t="s">
        <v>77</v>
      </c>
    </row>
    <row r="2496">
      <c r="A2496" s="2" t="s">
        <v>2685</v>
      </c>
      <c r="B2496" s="2" t="s">
        <v>2689</v>
      </c>
      <c r="C2496" s="2" t="s">
        <v>2690</v>
      </c>
      <c r="D2496" s="3" t="str">
        <f>HYPERLINK("https://12go.asia/en/travel/dahod/panvel", "12Go Link")</f>
        <v>12Go Link</v>
      </c>
      <c r="E2496" s="2" t="s">
        <v>77</v>
      </c>
    </row>
    <row r="2497">
      <c r="A2497" s="2" t="s">
        <v>2356</v>
      </c>
      <c r="B2497" s="2" t="s">
        <v>2570</v>
      </c>
      <c r="C2497" s="2" t="s">
        <v>2691</v>
      </c>
      <c r="D2497" s="3" t="str">
        <f>HYPERLINK("https://12go.asia/en/travel/daman/mount-abu", "12Go Link")</f>
        <v>12Go Link</v>
      </c>
      <c r="E2497" s="2" t="s">
        <v>77</v>
      </c>
    </row>
    <row r="2498">
      <c r="A2498" s="2" t="s">
        <v>2356</v>
      </c>
      <c r="B2498" s="2" t="s">
        <v>2692</v>
      </c>
      <c r="C2498" s="2" t="s">
        <v>2693</v>
      </c>
      <c r="D2498" s="3" t="str">
        <f>HYPERLINK("https://12go.asia/en/travel/daman/patna", "12Go Link")</f>
        <v>12Go Link</v>
      </c>
      <c r="E2498" s="2" t="s">
        <v>77</v>
      </c>
    </row>
    <row r="2499">
      <c r="A2499" s="2" t="s">
        <v>2694</v>
      </c>
      <c r="B2499" s="2" t="s">
        <v>2695</v>
      </c>
      <c r="C2499" s="2" t="s">
        <v>2696</v>
      </c>
      <c r="D2499" s="3" t="str">
        <f>HYPERLINK("https://12go.asia/en/travel/damoh/sagar", "12Go Link")</f>
        <v>12Go Link</v>
      </c>
      <c r="E2499" s="2" t="s">
        <v>77</v>
      </c>
    </row>
    <row r="2500">
      <c r="A2500" s="2" t="s">
        <v>2694</v>
      </c>
      <c r="B2500" s="2" t="s">
        <v>2695</v>
      </c>
      <c r="C2500" s="2" t="s">
        <v>2697</v>
      </c>
      <c r="D2500" s="3" t="str">
        <f>HYPERLINK("https://12go.asia/en/travel/damoh/saugor", "12Go Link")</f>
        <v>12Go Link</v>
      </c>
      <c r="E2500" s="2" t="s">
        <v>77</v>
      </c>
    </row>
    <row r="2501">
      <c r="A2501" s="2" t="s">
        <v>2698</v>
      </c>
      <c r="B2501" s="2" t="s">
        <v>2516</v>
      </c>
      <c r="C2501" s="2" t="s">
        <v>2699</v>
      </c>
      <c r="D2501" s="3" t="str">
        <f>HYPERLINK("https://12go.asia/en/travel/darbhanga/ksr-bangalore", "12Go Link")</f>
        <v>12Go Link</v>
      </c>
      <c r="E2501" s="2" t="s">
        <v>77</v>
      </c>
    </row>
    <row r="2502">
      <c r="A2502" s="2" t="s">
        <v>2698</v>
      </c>
      <c r="B2502" s="2" t="s">
        <v>2700</v>
      </c>
      <c r="C2502" s="2" t="s">
        <v>2701</v>
      </c>
      <c r="D2502" s="3" t="str">
        <f>HYPERLINK("https://12go.asia/en/travel/darbhanga/karnataka", "12Go Link")</f>
        <v>12Go Link</v>
      </c>
      <c r="E2502" s="2" t="s">
        <v>77</v>
      </c>
    </row>
    <row r="2503">
      <c r="A2503" s="2" t="s">
        <v>2702</v>
      </c>
      <c r="B2503" s="2" t="s">
        <v>2703</v>
      </c>
      <c r="C2503" s="2" t="s">
        <v>2704</v>
      </c>
      <c r="D2503" s="3" t="str">
        <f>HYPERLINK("https://12go.asia/en/travel/dehradun/mughalsarai", "12Go Link")</f>
        <v>12Go Link</v>
      </c>
      <c r="E2503" s="2" t="s">
        <v>77</v>
      </c>
    </row>
    <row r="2504">
      <c r="A2504" s="2" t="s">
        <v>2289</v>
      </c>
      <c r="B2504" s="2" t="s">
        <v>2281</v>
      </c>
      <c r="C2504" s="2" t="s">
        <v>2705</v>
      </c>
      <c r="D2504" s="3" t="str">
        <f>HYPERLINK("https://12go.asia/en/travel/sabzi-mandi/agra-cantt", "12Go Link")</f>
        <v>12Go Link</v>
      </c>
      <c r="E2504" s="2" t="s">
        <v>77</v>
      </c>
    </row>
    <row r="2505">
      <c r="A2505" s="2" t="s">
        <v>2289</v>
      </c>
      <c r="B2505" s="2" t="s">
        <v>2394</v>
      </c>
      <c r="C2505" s="2" t="s">
        <v>2706</v>
      </c>
      <c r="D2505" s="3" t="str">
        <f>HYPERLINK("https://12go.asia/en/travel/delhi/amravati", "12Go Link")</f>
        <v>12Go Link</v>
      </c>
      <c r="E2505" s="2" t="s">
        <v>77</v>
      </c>
    </row>
    <row r="2506">
      <c r="A2506" s="2" t="s">
        <v>2289</v>
      </c>
      <c r="B2506" s="2" t="s">
        <v>2707</v>
      </c>
      <c r="C2506" s="2" t="s">
        <v>2708</v>
      </c>
      <c r="D2506" s="3" t="str">
        <f>HYPERLINK("https://12go.asia/en/travel/delhi/balasore", "12Go Link")</f>
        <v>12Go Link</v>
      </c>
      <c r="E2506" s="2" t="s">
        <v>77</v>
      </c>
    </row>
    <row r="2507">
      <c r="A2507" s="2" t="s">
        <v>2289</v>
      </c>
      <c r="B2507" s="2" t="s">
        <v>2709</v>
      </c>
      <c r="C2507" s="2" t="s">
        <v>2710</v>
      </c>
      <c r="D2507" s="3" t="str">
        <f>HYPERLINK("https://12go.asia/en/travel/delhi/dalsingh-sarai", "12Go Link")</f>
        <v>12Go Link</v>
      </c>
      <c r="E2507" s="2" t="s">
        <v>77</v>
      </c>
    </row>
    <row r="2508">
      <c r="A2508" s="2" t="s">
        <v>2289</v>
      </c>
      <c r="B2508" s="2" t="s">
        <v>2711</v>
      </c>
      <c r="C2508" s="2" t="s">
        <v>2712</v>
      </c>
      <c r="D2508" s="3" t="str">
        <f>HYPERLINK("https://12go.asia/en/travel/sabzi-mandi/garwa-road", "12Go Link")</f>
        <v>12Go Link</v>
      </c>
      <c r="E2508" s="2" t="s">
        <v>77</v>
      </c>
    </row>
    <row r="2509">
      <c r="A2509" s="2" t="s">
        <v>2289</v>
      </c>
      <c r="B2509" s="2" t="s">
        <v>2713</v>
      </c>
      <c r="C2509" s="2" t="s">
        <v>2714</v>
      </c>
      <c r="D2509" s="3" t="str">
        <f>HYPERLINK("https://12go.asia/en/travel/delhi/godhra", "12Go Link")</f>
        <v>12Go Link</v>
      </c>
      <c r="E2509" s="2" t="s">
        <v>77</v>
      </c>
    </row>
    <row r="2510">
      <c r="A2510" s="2" t="s">
        <v>2289</v>
      </c>
      <c r="B2510" s="2" t="s">
        <v>2713</v>
      </c>
      <c r="C2510" s="2" t="s">
        <v>2715</v>
      </c>
      <c r="D2510" s="3" t="str">
        <f>HYPERLINK("https://12go.asia/en/travel/hazrat-nizamuddin/godhra-junction", "12Go Link")</f>
        <v>12Go Link</v>
      </c>
      <c r="E2510" s="2" t="s">
        <v>77</v>
      </c>
    </row>
    <row r="2511">
      <c r="A2511" s="2" t="s">
        <v>2289</v>
      </c>
      <c r="B2511" s="2" t="s">
        <v>2716</v>
      </c>
      <c r="C2511" s="2" t="s">
        <v>2717</v>
      </c>
      <c r="D2511" s="3" t="str">
        <f>HYPERLINK("https://12go.asia/en/travel/delhi/kadapa", "12Go Link")</f>
        <v>12Go Link</v>
      </c>
      <c r="E2511" s="2" t="s">
        <v>77</v>
      </c>
    </row>
    <row r="2512">
      <c r="A2512" s="2" t="s">
        <v>2289</v>
      </c>
      <c r="B2512" s="2" t="s">
        <v>2716</v>
      </c>
      <c r="C2512" s="2" t="s">
        <v>2718</v>
      </c>
      <c r="D2512" s="3" t="str">
        <f>HYPERLINK("https://12go.asia/en/travel/hazrat-nizamuddin/cuddapah", "12Go Link")</f>
        <v>12Go Link</v>
      </c>
      <c r="E2512" s="2" t="s">
        <v>77</v>
      </c>
    </row>
    <row r="2513">
      <c r="A2513" s="2" t="s">
        <v>2289</v>
      </c>
      <c r="B2513" s="2" t="s">
        <v>2719</v>
      </c>
      <c r="C2513" s="2" t="s">
        <v>2720</v>
      </c>
      <c r="D2513" s="3" t="str">
        <f>HYPERLINK("https://12go.asia/en/travel/delhi-cantt/muzaffarnagar", "12Go Link")</f>
        <v>12Go Link</v>
      </c>
      <c r="E2513" s="2" t="s">
        <v>77</v>
      </c>
    </row>
    <row r="2514">
      <c r="A2514" s="2" t="s">
        <v>2289</v>
      </c>
      <c r="B2514" s="2" t="s">
        <v>2721</v>
      </c>
      <c r="C2514" s="2" t="s">
        <v>2722</v>
      </c>
      <c r="D2514" s="3" t="str">
        <f>HYPERLINK("https://12go.asia/en/travel/delhi/new-bongaigaon", "12Go Link")</f>
        <v>12Go Link</v>
      </c>
      <c r="E2514" s="2" t="s">
        <v>77</v>
      </c>
    </row>
    <row r="2515">
      <c r="A2515" s="2" t="s">
        <v>2289</v>
      </c>
      <c r="B2515" s="2" t="s">
        <v>2723</v>
      </c>
      <c r="C2515" s="2" t="s">
        <v>2724</v>
      </c>
      <c r="D2515" s="3" t="str">
        <f>HYPERLINK("https://12go.asia/en/travel/delhi/raj-gangpur", "12Go Link")</f>
        <v>12Go Link</v>
      </c>
      <c r="E2515" s="2" t="s">
        <v>77</v>
      </c>
    </row>
    <row r="2516">
      <c r="A2516" s="2" t="s">
        <v>2289</v>
      </c>
      <c r="B2516" s="2" t="s">
        <v>2723</v>
      </c>
      <c r="C2516" s="2" t="s">
        <v>2725</v>
      </c>
      <c r="D2516" s="3" t="str">
        <f>HYPERLINK("https://12go.asia/en/travel/hazrat-nizamuddin/raj-gangpur", "12Go Link")</f>
        <v>12Go Link</v>
      </c>
      <c r="E2516" s="2" t="s">
        <v>77</v>
      </c>
    </row>
    <row r="2517">
      <c r="A2517" s="2" t="s">
        <v>2289</v>
      </c>
      <c r="B2517" s="2" t="s">
        <v>2468</v>
      </c>
      <c r="C2517" s="2" t="s">
        <v>2726</v>
      </c>
      <c r="D2517" s="3" t="str">
        <f>HYPERLINK("https://12go.asia/en/travel/delhi-sarai-rohilla/phulera-junction", "12Go Link")</f>
        <v>12Go Link</v>
      </c>
      <c r="E2517" s="2" t="s">
        <v>77</v>
      </c>
    </row>
    <row r="2518">
      <c r="A2518" s="2" t="s">
        <v>2289</v>
      </c>
      <c r="B2518" s="2" t="s">
        <v>2468</v>
      </c>
      <c r="C2518" s="2" t="s">
        <v>2727</v>
      </c>
      <c r="D2518" s="3" t="str">
        <f>HYPERLINK("https://12go.asia/en/travel/delhi/phulera-junction", "12Go Link")</f>
        <v>12Go Link</v>
      </c>
      <c r="E2518" s="2" t="s">
        <v>77</v>
      </c>
    </row>
    <row r="2519">
      <c r="A2519" s="2" t="s">
        <v>2289</v>
      </c>
      <c r="B2519" s="2" t="s">
        <v>2728</v>
      </c>
      <c r="C2519" s="2" t="s">
        <v>2729</v>
      </c>
      <c r="D2519" s="3" t="str">
        <f>HYPERLINK("https://12go.asia/en/travel/delhi/ramgarh-cantonment", "12Go Link")</f>
        <v>12Go Link</v>
      </c>
      <c r="E2519" s="2" t="s">
        <v>77</v>
      </c>
    </row>
    <row r="2520">
      <c r="A2520" s="2" t="s">
        <v>2289</v>
      </c>
      <c r="B2520" s="2" t="s">
        <v>2728</v>
      </c>
      <c r="C2520" s="2" t="s">
        <v>2730</v>
      </c>
      <c r="D2520" s="3" t="str">
        <f>HYPERLINK("https://12go.asia/en/travel/sabzi-mandi/ramgarh-cant", "12Go Link")</f>
        <v>12Go Link</v>
      </c>
      <c r="E2520" s="2" t="s">
        <v>77</v>
      </c>
    </row>
    <row r="2521">
      <c r="A2521" s="2" t="s">
        <v>2289</v>
      </c>
      <c r="B2521" s="2" t="s">
        <v>2731</v>
      </c>
      <c r="C2521" s="2" t="s">
        <v>2732</v>
      </c>
      <c r="D2521" s="3" t="str">
        <f>HYPERLINK("https://12go.asia/en/travel/delhi/sahibganj", "12Go Link")</f>
        <v>12Go Link</v>
      </c>
      <c r="E2521" s="2" t="s">
        <v>77</v>
      </c>
    </row>
    <row r="2522">
      <c r="A2522" s="2" t="s">
        <v>2289</v>
      </c>
      <c r="B2522" s="2" t="s">
        <v>2731</v>
      </c>
      <c r="C2522" s="2" t="s">
        <v>2733</v>
      </c>
      <c r="D2522" s="3" t="str">
        <f>HYPERLINK("https://12go.asia/en/travel/delhi/sahibganj-junction", "12Go Link")</f>
        <v>12Go Link</v>
      </c>
      <c r="E2522" s="2" t="s">
        <v>77</v>
      </c>
    </row>
    <row r="2523">
      <c r="A2523" s="2" t="s">
        <v>2289</v>
      </c>
      <c r="B2523" s="2" t="s">
        <v>2734</v>
      </c>
      <c r="C2523" s="2" t="s">
        <v>2735</v>
      </c>
      <c r="D2523" s="3" t="str">
        <f>HYPERLINK("https://12go.asia/en/travel/delhi-cantt/shahjehanpur", "12Go Link")</f>
        <v>12Go Link</v>
      </c>
      <c r="E2523" s="2" t="s">
        <v>77</v>
      </c>
    </row>
    <row r="2524">
      <c r="A2524" s="2" t="s">
        <v>2289</v>
      </c>
      <c r="B2524" s="2" t="s">
        <v>2736</v>
      </c>
      <c r="C2524" s="2" t="s">
        <v>2737</v>
      </c>
      <c r="D2524" s="3" t="str">
        <f>HYPERLINK("https://12go.asia/en/travel/delhi/shamgarh", "12Go Link")</f>
        <v>12Go Link</v>
      </c>
      <c r="E2524" s="2" t="s">
        <v>77</v>
      </c>
    </row>
    <row r="2525">
      <c r="A2525" s="2" t="s">
        <v>2289</v>
      </c>
      <c r="B2525" s="2" t="s">
        <v>2736</v>
      </c>
      <c r="C2525" s="2" t="s">
        <v>2738</v>
      </c>
      <c r="D2525" s="3" t="str">
        <f>HYPERLINK("https://12go.asia/en/travel/hazrat-nizamuddin/shamgarh", "12Go Link")</f>
        <v>12Go Link</v>
      </c>
      <c r="E2525" s="2" t="s">
        <v>77</v>
      </c>
    </row>
    <row r="2526">
      <c r="A2526" s="2" t="s">
        <v>2289</v>
      </c>
      <c r="B2526" s="2" t="s">
        <v>2636</v>
      </c>
      <c r="C2526" s="2" t="s">
        <v>2739</v>
      </c>
      <c r="D2526" s="3" t="str">
        <f>HYPERLINK("https://12go.asia/en/travel/delhi-shahdara-jn/sonipat", "12Go Link")</f>
        <v>12Go Link</v>
      </c>
      <c r="E2526" s="2" t="s">
        <v>77</v>
      </c>
    </row>
    <row r="2527">
      <c r="A2527" s="2" t="s">
        <v>2289</v>
      </c>
      <c r="B2527" s="2" t="s">
        <v>2740</v>
      </c>
      <c r="C2527" s="2" t="s">
        <v>2741</v>
      </c>
      <c r="D2527" s="3" t="str">
        <f>HYPERLINK("https://12go.asia/en/travel/delhi/vridhachalam", "12Go Link")</f>
        <v>12Go Link</v>
      </c>
      <c r="E2527" s="2" t="s">
        <v>77</v>
      </c>
    </row>
    <row r="2528">
      <c r="A2528" s="2" t="s">
        <v>2289</v>
      </c>
      <c r="B2528" s="2" t="s">
        <v>2740</v>
      </c>
      <c r="C2528" s="2" t="s">
        <v>2742</v>
      </c>
      <c r="D2528" s="3" t="str">
        <f>HYPERLINK("https://12go.asia/en/travel/hazrat-nizamuddin/vriddhachalam-junction", "12Go Link")</f>
        <v>12Go Link</v>
      </c>
      <c r="E2528" s="2" t="s">
        <v>77</v>
      </c>
    </row>
    <row r="2529">
      <c r="A2529" s="2" t="s">
        <v>2743</v>
      </c>
      <c r="B2529" s="2" t="s">
        <v>2744</v>
      </c>
      <c r="C2529" s="2" t="s">
        <v>2745</v>
      </c>
      <c r="D2529" s="3" t="str">
        <f>HYPERLINK("https://12go.asia/en/travel/deoghar/lucknow", "12Go Link")</f>
        <v>12Go Link</v>
      </c>
      <c r="E2529" s="2" t="s">
        <v>77</v>
      </c>
    </row>
    <row r="2530">
      <c r="A2530" s="2" t="s">
        <v>2743</v>
      </c>
      <c r="B2530" s="2" t="s">
        <v>2746</v>
      </c>
      <c r="C2530" s="2" t="s">
        <v>2747</v>
      </c>
      <c r="D2530" s="3" t="str">
        <f>HYPERLINK("https://12go.asia/en/travel/deoghar/uttar-pradesh", "12Go Link")</f>
        <v>12Go Link</v>
      </c>
      <c r="E2530" s="2" t="s">
        <v>77</v>
      </c>
    </row>
    <row r="2531">
      <c r="A2531" s="2" t="s">
        <v>2358</v>
      </c>
      <c r="B2531" s="2" t="s">
        <v>2572</v>
      </c>
      <c r="C2531" s="2" t="s">
        <v>2748</v>
      </c>
      <c r="D2531" s="3" t="str">
        <f>HYPERLINK("https://12go.asia/en/travel/dhanbad-junction/bhopal-jn", "12Go Link")</f>
        <v>12Go Link</v>
      </c>
      <c r="E2531" s="2" t="s">
        <v>77</v>
      </c>
    </row>
    <row r="2532">
      <c r="A2532" s="2" t="s">
        <v>2358</v>
      </c>
      <c r="B2532" s="2" t="s">
        <v>2670</v>
      </c>
      <c r="C2532" s="2" t="s">
        <v>2749</v>
      </c>
      <c r="D2532" s="3" t="str">
        <f>HYPERLINK("https://12go.asia/en/travel/dhanbad/chhattisgarh", "12Go Link")</f>
        <v>12Go Link</v>
      </c>
      <c r="E2532" s="2" t="s">
        <v>77</v>
      </c>
    </row>
    <row r="2533">
      <c r="A2533" s="2" t="s">
        <v>2358</v>
      </c>
      <c r="B2533" s="2" t="s">
        <v>2750</v>
      </c>
      <c r="C2533" s="2" t="s">
        <v>2751</v>
      </c>
      <c r="D2533" s="3" t="str">
        <f>HYPERLINK("https://12go.asia/en/travel/dhanbad/madhya-pradesh", "12Go Link")</f>
        <v>12Go Link</v>
      </c>
      <c r="E2533" s="2" t="s">
        <v>77</v>
      </c>
    </row>
    <row r="2534">
      <c r="A2534" s="2" t="s">
        <v>2358</v>
      </c>
      <c r="B2534" s="2" t="s">
        <v>2752</v>
      </c>
      <c r="C2534" s="2" t="s">
        <v>2753</v>
      </c>
      <c r="D2534" s="3" t="str">
        <f>HYPERLINK("https://12go.asia/en/travel/dhanbad-junction/raipur-jn", "12Go Link")</f>
        <v>12Go Link</v>
      </c>
      <c r="E2534" s="2" t="s">
        <v>77</v>
      </c>
    </row>
    <row r="2535">
      <c r="A2535" s="2" t="s">
        <v>2754</v>
      </c>
      <c r="B2535" s="2" t="s">
        <v>2450</v>
      </c>
      <c r="C2535" s="2" t="s">
        <v>2755</v>
      </c>
      <c r="D2535" s="3" t="str">
        <f>HYPERLINK("https://12go.asia/en/travel/dharmapuri-tamil-nadu/tirunelveli", "12Go Link")</f>
        <v>12Go Link</v>
      </c>
      <c r="E2535" s="2" t="s">
        <v>25</v>
      </c>
    </row>
    <row r="2536">
      <c r="A2536" s="2" t="s">
        <v>2756</v>
      </c>
      <c r="B2536" s="2" t="s">
        <v>2757</v>
      </c>
      <c r="C2536" s="2" t="s">
        <v>2758</v>
      </c>
      <c r="D2536" s="3" t="str">
        <f>HYPERLINK("https://12go.asia/en/travel/dharmavaram-junction/sai-p-nilayam", "12Go Link")</f>
        <v>12Go Link</v>
      </c>
      <c r="E2536" s="2" t="s">
        <v>77</v>
      </c>
    </row>
    <row r="2537">
      <c r="A2537" s="2" t="s">
        <v>2756</v>
      </c>
      <c r="B2537" s="2" t="s">
        <v>2757</v>
      </c>
      <c r="C2537" s="2" t="s">
        <v>2759</v>
      </c>
      <c r="D2537" s="3" t="str">
        <f>HYPERLINK("https://12go.asia/en/travel/dharmavaram/puttaparthi", "12Go Link")</f>
        <v>12Go Link</v>
      </c>
      <c r="E2537" s="2" t="s">
        <v>77</v>
      </c>
    </row>
    <row r="2538">
      <c r="A2538" s="2" t="s">
        <v>2760</v>
      </c>
      <c r="B2538" s="2" t="s">
        <v>2761</v>
      </c>
      <c r="C2538" s="2" t="s">
        <v>2762</v>
      </c>
      <c r="D2538" s="3" t="str">
        <f>HYPERLINK("https://12go.asia/en/travel/dharwad/whitefield-bangalore", "12Go Link")</f>
        <v>12Go Link</v>
      </c>
      <c r="E2538" s="2" t="s">
        <v>77</v>
      </c>
    </row>
    <row r="2539">
      <c r="A2539" s="2" t="s">
        <v>2760</v>
      </c>
      <c r="B2539" s="2" t="s">
        <v>2761</v>
      </c>
      <c r="C2539" s="2" t="s">
        <v>2763</v>
      </c>
      <c r="D2539" s="3" t="str">
        <f>HYPERLINK("https://12go.asia/en/travel/dharwar/whitefield", "12Go Link")</f>
        <v>12Go Link</v>
      </c>
      <c r="E2539" s="2" t="s">
        <v>77</v>
      </c>
    </row>
    <row r="2540">
      <c r="A2540" s="2" t="s">
        <v>2764</v>
      </c>
      <c r="B2540" s="2" t="s">
        <v>2765</v>
      </c>
      <c r="C2540" s="2" t="s">
        <v>2766</v>
      </c>
      <c r="D2540" s="3" t="str">
        <f>HYPERLINK("https://12go.asia/en/travel/dimapur/gonda-jn", "12Go Link")</f>
        <v>12Go Link</v>
      </c>
      <c r="E2540" s="2" t="s">
        <v>77</v>
      </c>
    </row>
    <row r="2541">
      <c r="A2541" s="2" t="s">
        <v>2764</v>
      </c>
      <c r="B2541" s="2" t="s">
        <v>2765</v>
      </c>
      <c r="C2541" s="2" t="s">
        <v>2767</v>
      </c>
      <c r="D2541" s="3" t="str">
        <f>HYPERLINK("https://12go.asia/en/travel/dimapur/gonda", "12Go Link")</f>
        <v>12Go Link</v>
      </c>
      <c r="E2541" s="2" t="s">
        <v>77</v>
      </c>
    </row>
    <row r="2542">
      <c r="A2542" s="2" t="s">
        <v>2768</v>
      </c>
      <c r="B2542" s="2" t="s">
        <v>2769</v>
      </c>
      <c r="C2542" s="2" t="s">
        <v>2770</v>
      </c>
      <c r="D2542" s="3" t="str">
        <f>HYPERLINK("https://12go.asia/en/travel/dindigul-junction/tiruvannamalai", "12Go Link")</f>
        <v>12Go Link</v>
      </c>
      <c r="E2542" s="2" t="s">
        <v>77</v>
      </c>
    </row>
    <row r="2543">
      <c r="A2543" s="2" t="s">
        <v>2768</v>
      </c>
      <c r="B2543" s="2" t="s">
        <v>2769</v>
      </c>
      <c r="C2543" s="2" t="s">
        <v>2771</v>
      </c>
      <c r="D2543" s="3" t="str">
        <f>HYPERLINK("https://12go.asia/en/travel/dindigul/tiruvannamalai", "12Go Link")</f>
        <v>12Go Link</v>
      </c>
      <c r="E2543" s="2" t="s">
        <v>77</v>
      </c>
    </row>
    <row r="2544">
      <c r="A2544" s="2" t="s">
        <v>2772</v>
      </c>
      <c r="B2544" s="2" t="s">
        <v>2516</v>
      </c>
      <c r="C2544" s="2" t="s">
        <v>2773</v>
      </c>
      <c r="D2544" s="3" t="str">
        <f>HYPERLINK("https://12go.asia/en/travel/dodballapur/yelahanka-junction", "12Go Link")</f>
        <v>12Go Link</v>
      </c>
      <c r="E2544" s="2" t="s">
        <v>77</v>
      </c>
    </row>
    <row r="2545">
      <c r="A2545" s="2" t="s">
        <v>2772</v>
      </c>
      <c r="B2545" s="2" t="s">
        <v>2774</v>
      </c>
      <c r="C2545" s="2" t="s">
        <v>2775</v>
      </c>
      <c r="D2545" s="3" t="str">
        <f>HYPERLINK("https://12go.asia/en/travel/dodballapur/yelhanka", "12Go Link")</f>
        <v>12Go Link</v>
      </c>
      <c r="E2545" s="2" t="s">
        <v>77</v>
      </c>
    </row>
    <row r="2546">
      <c r="A2546" s="2" t="s">
        <v>2776</v>
      </c>
      <c r="B2546" s="2" t="s">
        <v>2777</v>
      </c>
      <c r="C2546" s="2" t="s">
        <v>2778</v>
      </c>
      <c r="D2546" s="3" t="str">
        <f>HYPERLINK("https://12go.asia/en/travel/durg/tatanagar", "12Go Link")</f>
        <v>12Go Link</v>
      </c>
      <c r="E2546" s="2" t="s">
        <v>77</v>
      </c>
    </row>
    <row r="2547">
      <c r="A2547" s="2" t="s">
        <v>2779</v>
      </c>
      <c r="B2547" s="2" t="s">
        <v>2570</v>
      </c>
      <c r="C2547" s="2" t="s">
        <v>2780</v>
      </c>
      <c r="D2547" s="3" t="str">
        <f>HYPERLINK("https://12go.asia/en/travel/dwarka/abu-road", "12Go Link")</f>
        <v>12Go Link</v>
      </c>
      <c r="E2547" s="2" t="s">
        <v>77</v>
      </c>
    </row>
    <row r="2548">
      <c r="A2548" s="2" t="s">
        <v>2779</v>
      </c>
      <c r="B2548" s="2" t="s">
        <v>2570</v>
      </c>
      <c r="C2548" s="2" t="s">
        <v>2781</v>
      </c>
      <c r="D2548" s="3" t="str">
        <f>HYPERLINK("https://12go.asia/en/travel/dwarka/mount-abu", "12Go Link")</f>
        <v>12Go Link</v>
      </c>
      <c r="E2548" s="2" t="s">
        <v>77</v>
      </c>
    </row>
    <row r="2549">
      <c r="A2549" s="2" t="s">
        <v>2675</v>
      </c>
      <c r="B2549" s="2" t="s">
        <v>2782</v>
      </c>
      <c r="C2549" s="2" t="s">
        <v>2783</v>
      </c>
      <c r="D2549" s="3" t="str">
        <f>HYPERLINK("https://12go.asia/en/travel/erode/kulitalai", "12Go Link")</f>
        <v>12Go Link</v>
      </c>
      <c r="E2549" s="2" t="s">
        <v>77</v>
      </c>
    </row>
    <row r="2550">
      <c r="A2550" s="2" t="s">
        <v>2291</v>
      </c>
      <c r="B2550" s="2" t="s">
        <v>2784</v>
      </c>
      <c r="C2550" s="2" t="s">
        <v>2785</v>
      </c>
      <c r="D2550" s="3" t="str">
        <f>HYPERLINK("https://12go.asia/en/travel/ayodhya-cantt/moradabad", "12Go Link")</f>
        <v>12Go Link</v>
      </c>
      <c r="E2550" s="2" t="s">
        <v>77</v>
      </c>
    </row>
    <row r="2551">
      <c r="A2551" s="2" t="s">
        <v>2786</v>
      </c>
      <c r="B2551" s="2" t="s">
        <v>2787</v>
      </c>
      <c r="C2551" s="2" t="s">
        <v>2788</v>
      </c>
      <c r="D2551" s="3" t="str">
        <f>HYPERLINK("https://12go.asia/en/travel/falakata/rangiya", "12Go Link")</f>
        <v>12Go Link</v>
      </c>
      <c r="E2551" s="2" t="s">
        <v>77</v>
      </c>
    </row>
    <row r="2552">
      <c r="A2552" s="2" t="s">
        <v>2786</v>
      </c>
      <c r="B2552" s="2" t="s">
        <v>2787</v>
      </c>
      <c r="C2552" s="2" t="s">
        <v>2789</v>
      </c>
      <c r="D2552" s="3" t="str">
        <f>HYPERLINK("https://12go.asia/en/travel/falakata/rangiya-junction", "12Go Link")</f>
        <v>12Go Link</v>
      </c>
      <c r="E2552" s="2" t="s">
        <v>77</v>
      </c>
    </row>
    <row r="2553">
      <c r="A2553" s="2" t="s">
        <v>2790</v>
      </c>
      <c r="B2553" s="2" t="s">
        <v>2282</v>
      </c>
      <c r="C2553" s="2" t="s">
        <v>2791</v>
      </c>
      <c r="D2553" s="3" t="str">
        <f>HYPERLINK("https://12go.asia/en/travel/ferozepur/ayodhya", "12Go Link")</f>
        <v>12Go Link</v>
      </c>
      <c r="E2553" s="2" t="s">
        <v>77</v>
      </c>
    </row>
    <row r="2554">
      <c r="A2554" s="2" t="s">
        <v>2792</v>
      </c>
      <c r="B2554" s="2" t="s">
        <v>2793</v>
      </c>
      <c r="C2554" s="2" t="s">
        <v>2794</v>
      </c>
      <c r="D2554" s="3" t="str">
        <f>HYPERLINK("https://12go.asia/en/travel/gandhidham-bg/kanpur-central", "12Go Link")</f>
        <v>12Go Link</v>
      </c>
      <c r="E2554" s="2" t="s">
        <v>77</v>
      </c>
    </row>
    <row r="2555">
      <c r="A2555" s="2" t="s">
        <v>2792</v>
      </c>
      <c r="B2555" s="2" t="s">
        <v>2793</v>
      </c>
      <c r="C2555" s="2" t="s">
        <v>2795</v>
      </c>
      <c r="D2555" s="3" t="str">
        <f>HYPERLINK("https://12go.asia/en/travel/gandhidham/kanpur", "12Go Link")</f>
        <v>12Go Link</v>
      </c>
      <c r="E2555" s="2" t="s">
        <v>77</v>
      </c>
    </row>
    <row r="2556">
      <c r="A2556" s="2" t="s">
        <v>2796</v>
      </c>
      <c r="B2556" s="2" t="s">
        <v>2797</v>
      </c>
      <c r="C2556" s="2" t="s">
        <v>2798</v>
      </c>
      <c r="D2556" s="3" t="str">
        <f>HYPERLINK("https://12go.asia/en/travel/gandhinagar-capital/sabarmati-junction", "12Go Link")</f>
        <v>12Go Link</v>
      </c>
      <c r="E2556" s="2" t="s">
        <v>77</v>
      </c>
    </row>
    <row r="2557">
      <c r="A2557" s="2" t="s">
        <v>2796</v>
      </c>
      <c r="B2557" s="2" t="s">
        <v>2797</v>
      </c>
      <c r="C2557" s="2" t="s">
        <v>2799</v>
      </c>
      <c r="D2557" s="3" t="str">
        <f>HYPERLINK("https://12go.asia/en/travel/gandhinagar/sabarmati", "12Go Link")</f>
        <v>12Go Link</v>
      </c>
      <c r="E2557" s="2" t="s">
        <v>77</v>
      </c>
    </row>
    <row r="2558">
      <c r="A2558" s="2" t="s">
        <v>2800</v>
      </c>
      <c r="B2558" s="2" t="s">
        <v>2550</v>
      </c>
      <c r="C2558" s="2" t="s">
        <v>2801</v>
      </c>
      <c r="D2558" s="3" t="str">
        <f>HYPERLINK("https://12go.asia/en/travel/gaya-jn/deen-dayal-upadhyaya-jn", "12Go Link")</f>
        <v>12Go Link</v>
      </c>
      <c r="E2558" s="2" t="s">
        <v>77</v>
      </c>
    </row>
    <row r="2559">
      <c r="A2559" s="2" t="s">
        <v>2802</v>
      </c>
      <c r="B2559" s="2" t="s">
        <v>2689</v>
      </c>
      <c r="C2559" s="2" t="s">
        <v>2803</v>
      </c>
      <c r="D2559" s="3" t="str">
        <f>HYPERLINK("https://12go.asia/en/travel/ghaziabad/panvel", "12Go Link")</f>
        <v>12Go Link</v>
      </c>
      <c r="E2559" s="2" t="s">
        <v>77</v>
      </c>
    </row>
    <row r="2560">
      <c r="A2560" s="2" t="s">
        <v>2802</v>
      </c>
      <c r="B2560" s="2" t="s">
        <v>2277</v>
      </c>
      <c r="C2560" s="2" t="s">
        <v>2804</v>
      </c>
      <c r="D2560" s="3" t="str">
        <f>HYPERLINK("https://12go.asia/en/travel/ghaziabad/sikandra-agra", "12Go Link")</f>
        <v>12Go Link</v>
      </c>
      <c r="E2560" s="2" t="s">
        <v>77</v>
      </c>
    </row>
    <row r="2561">
      <c r="A2561" s="2" t="s">
        <v>2584</v>
      </c>
      <c r="B2561" s="2" t="s">
        <v>2805</v>
      </c>
      <c r="C2561" s="2" t="s">
        <v>2806</v>
      </c>
      <c r="D2561" s="3" t="str">
        <f>HYPERLINK("https://12go.asia/en/travel/madgaon/davangere", "12Go Link")</f>
        <v>12Go Link</v>
      </c>
      <c r="E2561" s="2" t="s">
        <v>77</v>
      </c>
    </row>
    <row r="2562">
      <c r="A2562" s="2" t="s">
        <v>2807</v>
      </c>
      <c r="B2562" s="2" t="s">
        <v>2530</v>
      </c>
      <c r="C2562" s="2" t="s">
        <v>2808</v>
      </c>
      <c r="D2562" s="3" t="str">
        <f>HYPERLINK("https://12go.asia/en/travel/gokarna-road/kannur", "12Go Link")</f>
        <v>12Go Link</v>
      </c>
      <c r="E2562" s="2" t="s">
        <v>77</v>
      </c>
    </row>
    <row r="2563">
      <c r="A2563" s="2" t="s">
        <v>2807</v>
      </c>
      <c r="B2563" s="2" t="s">
        <v>2530</v>
      </c>
      <c r="C2563" s="2" t="s">
        <v>2809</v>
      </c>
      <c r="D2563" s="3" t="str">
        <f>HYPERLINK("https://12go.asia/en/travel/gokarna/kannur", "12Go Link")</f>
        <v>12Go Link</v>
      </c>
      <c r="E2563" s="2" t="s">
        <v>77</v>
      </c>
    </row>
    <row r="2564">
      <c r="A2564" s="2" t="s">
        <v>2807</v>
      </c>
      <c r="B2564" s="2" t="s">
        <v>2365</v>
      </c>
      <c r="C2564" s="2" t="s">
        <v>2810</v>
      </c>
      <c r="D2564" s="3" t="str">
        <f>HYPERLINK("https://12go.asia/en/travel/gokarna/old-goa", "12Go Link")</f>
        <v>12Go Link</v>
      </c>
      <c r="E2564" s="2" t="s">
        <v>77</v>
      </c>
    </row>
    <row r="2565">
      <c r="A2565" s="2" t="s">
        <v>2765</v>
      </c>
      <c r="B2565" s="2" t="s">
        <v>2339</v>
      </c>
      <c r="C2565" s="2" t="s">
        <v>2811</v>
      </c>
      <c r="D2565" s="3" t="str">
        <f>HYPERLINK("https://12go.asia/en/travel/gonda-jn/ajmer-jn", "12Go Link")</f>
        <v>12Go Link</v>
      </c>
      <c r="E2565" s="2" t="s">
        <v>77</v>
      </c>
    </row>
    <row r="2566">
      <c r="A2566" s="2" t="s">
        <v>2765</v>
      </c>
      <c r="B2566" s="2" t="s">
        <v>2339</v>
      </c>
      <c r="C2566" s="2" t="s">
        <v>2812</v>
      </c>
      <c r="D2566" s="3" t="str">
        <f>HYPERLINK("https://12go.asia/en/travel/gonda/ajmer", "12Go Link")</f>
        <v>12Go Link</v>
      </c>
      <c r="E2566" s="2" t="s">
        <v>77</v>
      </c>
    </row>
    <row r="2567">
      <c r="A2567" s="2" t="s">
        <v>2334</v>
      </c>
      <c r="B2567" s="2" t="s">
        <v>2391</v>
      </c>
      <c r="C2567" s="2" t="s">
        <v>2813</v>
      </c>
      <c r="D2567" s="3" t="str">
        <f>HYPERLINK("https://12go.asia/en/travel/gondia-junction/barauni-junction", "12Go Link")</f>
        <v>12Go Link</v>
      </c>
      <c r="E2567" s="2" t="s">
        <v>77</v>
      </c>
    </row>
    <row r="2568">
      <c r="A2568" s="2" t="s">
        <v>2334</v>
      </c>
      <c r="B2568" s="2" t="s">
        <v>2391</v>
      </c>
      <c r="C2568" s="2" t="s">
        <v>2814</v>
      </c>
      <c r="D2568" s="3" t="str">
        <f>HYPERLINK("https://12go.asia/en/travel/gondia/barauni", "12Go Link")</f>
        <v>12Go Link</v>
      </c>
      <c r="E2568" s="2" t="s">
        <v>77</v>
      </c>
    </row>
    <row r="2569">
      <c r="A2569" s="2" t="s">
        <v>2334</v>
      </c>
      <c r="B2569" s="2" t="s">
        <v>2815</v>
      </c>
      <c r="C2569" s="2" t="s">
        <v>2816</v>
      </c>
      <c r="D2569" s="3" t="str">
        <f>HYPERLINK("https://12go.asia/en/travel/gondia-junction/bilaspur-jn", "12Go Link")</f>
        <v>12Go Link</v>
      </c>
      <c r="E2569" s="2" t="s">
        <v>77</v>
      </c>
    </row>
    <row r="2570">
      <c r="A2570" s="2" t="s">
        <v>2334</v>
      </c>
      <c r="B2570" s="2" t="s">
        <v>2815</v>
      </c>
      <c r="C2570" s="2" t="s">
        <v>2817</v>
      </c>
      <c r="D2570" s="3" t="str">
        <f>HYPERLINK("https://12go.asia/en/travel/gondia/bilaspur", "12Go Link")</f>
        <v>12Go Link</v>
      </c>
      <c r="E2570" s="2" t="s">
        <v>77</v>
      </c>
    </row>
    <row r="2571">
      <c r="A2571" s="2" t="s">
        <v>2334</v>
      </c>
      <c r="B2571" s="2" t="s">
        <v>2818</v>
      </c>
      <c r="C2571" s="2" t="s">
        <v>2819</v>
      </c>
      <c r="D2571" s="3" t="str">
        <f>HYPERLINK("https://12go.asia/en/travel/gondia-junction/sainagar-shirdi", "12Go Link")</f>
        <v>12Go Link</v>
      </c>
      <c r="E2571" s="2" t="s">
        <v>77</v>
      </c>
    </row>
    <row r="2572">
      <c r="A2572" s="2" t="s">
        <v>2334</v>
      </c>
      <c r="B2572" s="2" t="s">
        <v>2818</v>
      </c>
      <c r="C2572" s="2" t="s">
        <v>2820</v>
      </c>
      <c r="D2572" s="3" t="str">
        <f>HYPERLINK("https://12go.asia/en/travel/gondia/shirdi", "12Go Link")</f>
        <v>12Go Link</v>
      </c>
      <c r="E2572" s="2" t="s">
        <v>77</v>
      </c>
    </row>
    <row r="2573">
      <c r="A2573" s="2" t="s">
        <v>2523</v>
      </c>
      <c r="B2573" s="2" t="s">
        <v>2516</v>
      </c>
      <c r="C2573" s="2" t="s">
        <v>2821</v>
      </c>
      <c r="D2573" s="3" t="str">
        <f>HYPERLINK("https://12go.asia/en/travel/gooty/ksr-bangalore", "12Go Link")</f>
        <v>12Go Link</v>
      </c>
      <c r="E2573" s="2" t="s">
        <v>77</v>
      </c>
    </row>
    <row r="2574">
      <c r="A2574" s="2" t="s">
        <v>2523</v>
      </c>
      <c r="B2574" s="2" t="s">
        <v>2516</v>
      </c>
      <c r="C2574" s="2" t="s">
        <v>2822</v>
      </c>
      <c r="D2574" s="3" t="str">
        <f>HYPERLINK("https://12go.asia/en/travel/gooty/yesvantpur", "12Go Link")</f>
        <v>12Go Link</v>
      </c>
      <c r="E2574" s="2" t="s">
        <v>77</v>
      </c>
    </row>
    <row r="2575">
      <c r="A2575" s="2" t="s">
        <v>2523</v>
      </c>
      <c r="B2575" s="2" t="s">
        <v>2700</v>
      </c>
      <c r="C2575" s="2" t="s">
        <v>2823</v>
      </c>
      <c r="D2575" s="3" t="str">
        <f>HYPERLINK("https://12go.asia/en/travel/gooty/karnataka", "12Go Link")</f>
        <v>12Go Link</v>
      </c>
      <c r="E2575" s="2" t="s">
        <v>77</v>
      </c>
    </row>
    <row r="2576">
      <c r="A2576" s="2" t="s">
        <v>2523</v>
      </c>
      <c r="B2576" s="2" t="s">
        <v>2663</v>
      </c>
      <c r="C2576" s="2" t="s">
        <v>2824</v>
      </c>
      <c r="D2576" s="3" t="str">
        <f>HYPERLINK("https://12go.asia/en/travel/gooty/razampeta", "12Go Link")</f>
        <v>12Go Link</v>
      </c>
      <c r="E2576" s="2" t="s">
        <v>77</v>
      </c>
    </row>
    <row r="2577">
      <c r="A2577" s="2" t="s">
        <v>2825</v>
      </c>
      <c r="B2577" s="2" t="s">
        <v>2413</v>
      </c>
      <c r="C2577" s="2" t="s">
        <v>2826</v>
      </c>
      <c r="D2577" s="3" t="str">
        <f>HYPERLINK("https://12go.asia/en/travel/gopalpur-odisha/andhra-pradesh", "12Go Link")</f>
        <v>12Go Link</v>
      </c>
      <c r="E2577" s="2" t="s">
        <v>25</v>
      </c>
    </row>
    <row r="2578">
      <c r="A2578" s="2" t="s">
        <v>2825</v>
      </c>
      <c r="B2578" s="2" t="s">
        <v>2827</v>
      </c>
      <c r="C2578" s="2" t="s">
        <v>2828</v>
      </c>
      <c r="D2578" s="3" t="str">
        <f>HYPERLINK("https://12go.asia/en/travel/gopalpur-odisha/secunderabad", "12Go Link")</f>
        <v>12Go Link</v>
      </c>
      <c r="E2578" s="2" t="s">
        <v>77</v>
      </c>
    </row>
    <row r="2579">
      <c r="A2579" s="2" t="s">
        <v>2825</v>
      </c>
      <c r="B2579" s="2" t="s">
        <v>2423</v>
      </c>
      <c r="C2579" s="2" t="s">
        <v>2829</v>
      </c>
      <c r="D2579" s="3" t="str">
        <f>HYPERLINK("https://12go.asia/en/travel/gopalpur-odisha/vijayawada", "12Go Link")</f>
        <v>12Go Link</v>
      </c>
      <c r="E2579" s="2" t="s">
        <v>25</v>
      </c>
    </row>
    <row r="2580">
      <c r="A2580" s="2" t="s">
        <v>2830</v>
      </c>
      <c r="B2580" s="2" t="s">
        <v>2743</v>
      </c>
      <c r="C2580" s="2" t="s">
        <v>2831</v>
      </c>
      <c r="D2580" s="3" t="str">
        <f>HYPERLINK("https://12go.asia/en/travel/gorakhpur/deoghar", "12Go Link")</f>
        <v>12Go Link</v>
      </c>
      <c r="E2580" s="2" t="s">
        <v>77</v>
      </c>
    </row>
    <row r="2581">
      <c r="A2581" s="2" t="s">
        <v>2830</v>
      </c>
      <c r="B2581" s="2" t="s">
        <v>2832</v>
      </c>
      <c r="C2581" s="2" t="s">
        <v>2833</v>
      </c>
      <c r="D2581" s="3" t="str">
        <f>HYPERLINK("https://12go.asia/en/travel/gorakhpur/jhusi", "12Go Link")</f>
        <v>12Go Link</v>
      </c>
      <c r="E2581" s="2" t="s">
        <v>77</v>
      </c>
    </row>
    <row r="2582">
      <c r="A2582" s="2" t="s">
        <v>2830</v>
      </c>
      <c r="B2582" s="2" t="s">
        <v>2834</v>
      </c>
      <c r="C2582" s="2" t="s">
        <v>2835</v>
      </c>
      <c r="D2582" s="3" t="str">
        <f>HYPERLINK("https://12go.asia/en/travel/gorakhpur/naini", "12Go Link")</f>
        <v>12Go Link</v>
      </c>
      <c r="E2582" s="2" t="s">
        <v>77</v>
      </c>
    </row>
    <row r="2583">
      <c r="A2583" s="2" t="s">
        <v>2830</v>
      </c>
      <c r="B2583" s="2" t="s">
        <v>2834</v>
      </c>
      <c r="C2583" s="2" t="s">
        <v>2836</v>
      </c>
      <c r="D2583" s="3" t="str">
        <f>HYPERLINK("https://12go.asia/en/travel/gorakhpur/naini-junction", "12Go Link")</f>
        <v>12Go Link</v>
      </c>
      <c r="E2583" s="2" t="s">
        <v>77</v>
      </c>
    </row>
    <row r="2584">
      <c r="A2584" s="2" t="s">
        <v>2830</v>
      </c>
      <c r="B2584" s="2" t="s">
        <v>2363</v>
      </c>
      <c r="C2584" s="2" t="s">
        <v>2837</v>
      </c>
      <c r="D2584" s="3" t="str">
        <f>HYPERLINK("https://12go.asia/en/travel/gorakhpur/navi-mumbai", "12Go Link")</f>
        <v>12Go Link</v>
      </c>
      <c r="E2584" s="2" t="s">
        <v>77</v>
      </c>
    </row>
    <row r="2585">
      <c r="A2585" s="2" t="s">
        <v>2830</v>
      </c>
      <c r="B2585" s="2" t="s">
        <v>2692</v>
      </c>
      <c r="C2585" s="2" t="s">
        <v>2838</v>
      </c>
      <c r="D2585" s="3" t="str">
        <f>HYPERLINK("https://12go.asia/en/travel/gorakhpur/patna-jn", "12Go Link")</f>
        <v>12Go Link</v>
      </c>
      <c r="E2585" s="2" t="s">
        <v>77</v>
      </c>
    </row>
    <row r="2586">
      <c r="A2586" s="2" t="s">
        <v>2830</v>
      </c>
      <c r="B2586" s="2" t="s">
        <v>2797</v>
      </c>
      <c r="C2586" s="2" t="s">
        <v>2839</v>
      </c>
      <c r="D2586" s="3" t="str">
        <f>HYPERLINK("https://12go.asia/en/travel/gorakhpur/sabarmati", "12Go Link")</f>
        <v>12Go Link</v>
      </c>
      <c r="E2586" s="2" t="s">
        <v>77</v>
      </c>
    </row>
    <row r="2587">
      <c r="A2587" s="2" t="s">
        <v>2830</v>
      </c>
      <c r="B2587" s="2" t="s">
        <v>2797</v>
      </c>
      <c r="C2587" s="2" t="s">
        <v>2840</v>
      </c>
      <c r="D2587" s="3" t="str">
        <f>HYPERLINK("https://12go.asia/en/travel/gorakhpur/sabarmati-junction", "12Go Link")</f>
        <v>12Go Link</v>
      </c>
      <c r="E2587" s="2" t="s">
        <v>77</v>
      </c>
    </row>
    <row r="2588">
      <c r="A2588" s="2" t="s">
        <v>2841</v>
      </c>
      <c r="B2588" s="2" t="s">
        <v>2842</v>
      </c>
      <c r="C2588" s="2" t="s">
        <v>2843</v>
      </c>
      <c r="D2588" s="3" t="str">
        <f>HYPERLINK("https://12go.asia/en/travel/greater-noida/kannauj", "12Go Link")</f>
        <v>12Go Link</v>
      </c>
      <c r="E2588" s="2" t="s">
        <v>25</v>
      </c>
    </row>
    <row r="2589">
      <c r="A2589" s="2" t="s">
        <v>2654</v>
      </c>
      <c r="B2589" s="2" t="s">
        <v>2844</v>
      </c>
      <c r="C2589" s="2" t="s">
        <v>2845</v>
      </c>
      <c r="D2589" s="3" t="str">
        <f>HYPERLINK("https://12go.asia/en/travel/gudur-junction/nellore", "12Go Link")</f>
        <v>12Go Link</v>
      </c>
      <c r="E2589" s="2" t="s">
        <v>77</v>
      </c>
    </row>
    <row r="2590">
      <c r="A2590" s="2" t="s">
        <v>2654</v>
      </c>
      <c r="B2590" s="2" t="s">
        <v>2844</v>
      </c>
      <c r="C2590" s="2" t="s">
        <v>2846</v>
      </c>
      <c r="D2590" s="3" t="str">
        <f>HYPERLINK("https://12go.asia/en/travel/gudur/nellore", "12Go Link")</f>
        <v>12Go Link</v>
      </c>
      <c r="E2590" s="2" t="s">
        <v>77</v>
      </c>
    </row>
    <row r="2591">
      <c r="A2591" s="2" t="s">
        <v>2847</v>
      </c>
      <c r="B2591" s="2" t="s">
        <v>2848</v>
      </c>
      <c r="C2591" s="2" t="s">
        <v>2849</v>
      </c>
      <c r="D2591" s="3" t="str">
        <f>HYPERLINK("https://12go.asia/en/travel/umbargam-road/ankleshwar-junction", "12Go Link")</f>
        <v>12Go Link</v>
      </c>
      <c r="E2591" s="2" t="s">
        <v>77</v>
      </c>
    </row>
    <row r="2592">
      <c r="A2592" s="2" t="s">
        <v>2847</v>
      </c>
      <c r="B2592" s="2" t="s">
        <v>2337</v>
      </c>
      <c r="C2592" s="2" t="s">
        <v>2850</v>
      </c>
      <c r="D2592" s="3" t="str">
        <f>HYPERLINK("https://12go.asia/en/travel/gujarat/kim", "12Go Link")</f>
        <v>12Go Link</v>
      </c>
      <c r="E2592" s="2" t="s">
        <v>77</v>
      </c>
    </row>
    <row r="2593">
      <c r="A2593" s="2" t="s">
        <v>2657</v>
      </c>
      <c r="B2593" s="2" t="s">
        <v>2777</v>
      </c>
      <c r="C2593" s="2" t="s">
        <v>2851</v>
      </c>
      <c r="D2593" s="3" t="str">
        <f>HYPERLINK("https://12go.asia/en/travel/gwalior-jn/tatanagar", "12Go Link")</f>
        <v>12Go Link</v>
      </c>
      <c r="E2593" s="2" t="s">
        <v>77</v>
      </c>
    </row>
    <row r="2594">
      <c r="A2594" s="2" t="s">
        <v>2657</v>
      </c>
      <c r="B2594" s="2" t="s">
        <v>2777</v>
      </c>
      <c r="C2594" s="2" t="s">
        <v>2852</v>
      </c>
      <c r="D2594" s="3" t="str">
        <f>HYPERLINK("https://12go.asia/en/travel/gwalior/tatanagar", "12Go Link")</f>
        <v>12Go Link</v>
      </c>
      <c r="E2594" s="2" t="s">
        <v>77</v>
      </c>
    </row>
    <row r="2595">
      <c r="A2595" s="2" t="s">
        <v>2618</v>
      </c>
      <c r="B2595" s="2" t="s">
        <v>2695</v>
      </c>
      <c r="C2595" s="2" t="s">
        <v>2853</v>
      </c>
      <c r="D2595" s="3" t="str">
        <f>HYPERLINK("https://12go.asia/en/travel/habibganj/sagar", "12Go Link")</f>
        <v>12Go Link</v>
      </c>
      <c r="E2595" s="2" t="s">
        <v>77</v>
      </c>
    </row>
    <row r="2596">
      <c r="A2596" s="2" t="s">
        <v>2618</v>
      </c>
      <c r="B2596" s="2" t="s">
        <v>2550</v>
      </c>
      <c r="C2596" s="2" t="s">
        <v>2854</v>
      </c>
      <c r="D2596" s="3" t="str">
        <f>HYPERLINK("https://12go.asia/en/travel/habibganj/varanasi", "12Go Link")</f>
        <v>12Go Link</v>
      </c>
      <c r="E2596" s="2" t="s">
        <v>77</v>
      </c>
    </row>
    <row r="2597">
      <c r="A2597" s="2" t="s">
        <v>2855</v>
      </c>
      <c r="B2597" s="2" t="s">
        <v>2413</v>
      </c>
      <c r="C2597" s="2" t="s">
        <v>2856</v>
      </c>
      <c r="D2597" s="3" t="str">
        <f>HYPERLINK("https://12go.asia/en/travel/hampi/andhra-pradesh", "12Go Link")</f>
        <v>12Go Link</v>
      </c>
      <c r="E2597" s="2" t="s">
        <v>77</v>
      </c>
    </row>
    <row r="2598">
      <c r="A2598" s="2" t="s">
        <v>2855</v>
      </c>
      <c r="B2598" s="2" t="s">
        <v>2423</v>
      </c>
      <c r="C2598" s="2" t="s">
        <v>2857</v>
      </c>
      <c r="D2598" s="3" t="str">
        <f>HYPERLINK("https://12go.asia/en/travel/hampi/vijayawada", "12Go Link")</f>
        <v>12Go Link</v>
      </c>
      <c r="E2598" s="2" t="s">
        <v>77</v>
      </c>
    </row>
    <row r="2599">
      <c r="A2599" s="2" t="s">
        <v>2858</v>
      </c>
      <c r="B2599" s="2" t="s">
        <v>2802</v>
      </c>
      <c r="C2599" s="2" t="s">
        <v>2859</v>
      </c>
      <c r="D2599" s="3" t="str">
        <f>HYPERLINK("https://12go.asia/en/travel/hardoi/ghaziabad", "12Go Link")</f>
        <v>12Go Link</v>
      </c>
      <c r="E2599" s="2" t="s">
        <v>77</v>
      </c>
    </row>
    <row r="2600">
      <c r="A2600" s="2" t="s">
        <v>2858</v>
      </c>
      <c r="B2600" s="2" t="s">
        <v>2383</v>
      </c>
      <c r="C2600" s="2" t="s">
        <v>2860</v>
      </c>
      <c r="D2600" s="3" t="str">
        <f>HYPERLINK("https://12go.asia/en/travel/hardoi/haryana", "12Go Link")</f>
        <v>12Go Link</v>
      </c>
      <c r="E2600" s="2" t="s">
        <v>77</v>
      </c>
    </row>
    <row r="2601">
      <c r="A2601" s="2" t="s">
        <v>2383</v>
      </c>
      <c r="B2601" s="2" t="s">
        <v>2861</v>
      </c>
      <c r="C2601" s="2" t="s">
        <v>2862</v>
      </c>
      <c r="D2601" s="3" t="str">
        <f>HYPERLINK("https://12go.asia/en/travel/haryana/nagpur", "12Go Link")</f>
        <v>12Go Link</v>
      </c>
      <c r="E2601" s="2" t="s">
        <v>77</v>
      </c>
    </row>
    <row r="2602">
      <c r="A2602" s="2" t="s">
        <v>2383</v>
      </c>
      <c r="B2602" s="2" t="s">
        <v>2863</v>
      </c>
      <c r="C2602" s="2" t="s">
        <v>2864</v>
      </c>
      <c r="D2602" s="3" t="str">
        <f>HYPERLINK("https://12go.asia/en/travel/rohtak-junction/shri-mata-vaishno", "12Go Link")</f>
        <v>12Go Link</v>
      </c>
      <c r="E2602" s="2" t="s">
        <v>77</v>
      </c>
    </row>
    <row r="2603">
      <c r="A2603" s="2" t="s">
        <v>2865</v>
      </c>
      <c r="B2603" s="2" t="s">
        <v>2866</v>
      </c>
      <c r="C2603" s="2" t="s">
        <v>2867</v>
      </c>
      <c r="D2603" s="3" t="str">
        <f>HYPERLINK("https://12go.asia/en/travel/hatia/ernakulam-jn", "12Go Link")</f>
        <v>12Go Link</v>
      </c>
      <c r="E2603" s="2" t="s">
        <v>77</v>
      </c>
    </row>
    <row r="2604">
      <c r="A2604" s="2" t="s">
        <v>2865</v>
      </c>
      <c r="B2604" s="2" t="s">
        <v>2866</v>
      </c>
      <c r="C2604" s="2" t="s">
        <v>2868</v>
      </c>
      <c r="D2604" s="3" t="str">
        <f>HYPERLINK("https://12go.asia/en/travel/hatia/kochi-india", "12Go Link")</f>
        <v>12Go Link</v>
      </c>
      <c r="E2604" s="2" t="s">
        <v>77</v>
      </c>
    </row>
    <row r="2605">
      <c r="A2605" s="2" t="s">
        <v>2869</v>
      </c>
      <c r="B2605" s="2" t="s">
        <v>2870</v>
      </c>
      <c r="C2605" s="2" t="s">
        <v>2871</v>
      </c>
      <c r="D2605" s="3" t="str">
        <f>HYPERLINK("https://12go.asia/en/travel/amb-andaura/rajpura-junction", "12Go Link")</f>
        <v>12Go Link</v>
      </c>
      <c r="E2605" s="2" t="s">
        <v>77</v>
      </c>
    </row>
    <row r="2606">
      <c r="A2606" s="2" t="s">
        <v>2872</v>
      </c>
      <c r="B2606" s="2" t="s">
        <v>2363</v>
      </c>
      <c r="C2606" s="2" t="s">
        <v>2873</v>
      </c>
      <c r="D2606" s="3" t="str">
        <f>HYPERLINK("https://12go.asia/en/travel/hisar/navi-mumbai", "12Go Link")</f>
        <v>12Go Link</v>
      </c>
      <c r="E2606" s="2" t="s">
        <v>77</v>
      </c>
    </row>
    <row r="2607">
      <c r="A2607" s="2" t="s">
        <v>2872</v>
      </c>
      <c r="B2607" s="2" t="s">
        <v>2689</v>
      </c>
      <c r="C2607" s="2" t="s">
        <v>2874</v>
      </c>
      <c r="D2607" s="3" t="str">
        <f>HYPERLINK("https://12go.asia/en/travel/hisar/panvel", "12Go Link")</f>
        <v>12Go Link</v>
      </c>
      <c r="E2607" s="2" t="s">
        <v>77</v>
      </c>
    </row>
    <row r="2608">
      <c r="A2608" s="2" t="s">
        <v>2872</v>
      </c>
      <c r="B2608" s="2" t="s">
        <v>2556</v>
      </c>
      <c r="C2608" s="2" t="s">
        <v>2875</v>
      </c>
      <c r="D2608" s="3" t="str">
        <f>HYPERLINK("https://12go.asia/en/travel/hisar/shri-ganganagar", "12Go Link")</f>
        <v>12Go Link</v>
      </c>
      <c r="E2608" s="2" t="s">
        <v>77</v>
      </c>
    </row>
    <row r="2609">
      <c r="A2609" s="2" t="s">
        <v>2872</v>
      </c>
      <c r="B2609" s="2" t="s">
        <v>2556</v>
      </c>
      <c r="C2609" s="2" t="s">
        <v>2876</v>
      </c>
      <c r="D2609" s="3" t="str">
        <f>HYPERLINK("https://12go.asia/en/travel/hisar/sri-ganganagar", "12Go Link")</f>
        <v>12Go Link</v>
      </c>
      <c r="E2609" s="2" t="s">
        <v>77</v>
      </c>
    </row>
    <row r="2610">
      <c r="A2610" s="2" t="s">
        <v>2877</v>
      </c>
      <c r="B2610" s="2" t="s">
        <v>2878</v>
      </c>
      <c r="C2610" s="2" t="s">
        <v>2879</v>
      </c>
      <c r="D2610" s="3" t="str">
        <f>HYPERLINK("https://12go.asia/en/travel/honavar/kankanadi", "12Go Link")</f>
        <v>12Go Link</v>
      </c>
      <c r="E2610" s="2" t="s">
        <v>77</v>
      </c>
    </row>
    <row r="2611">
      <c r="A2611" s="2" t="s">
        <v>2678</v>
      </c>
      <c r="B2611" s="2" t="s">
        <v>2880</v>
      </c>
      <c r="C2611" s="2" t="s">
        <v>2881</v>
      </c>
      <c r="D2611" s="3" t="str">
        <f>HYPERLINK("https://12go.asia/en/travel/hosur/koyilandy", "12Go Link")</f>
        <v>12Go Link</v>
      </c>
      <c r="E2611" s="2" t="s">
        <v>77</v>
      </c>
    </row>
    <row r="2612">
      <c r="A2612" s="2" t="s">
        <v>2678</v>
      </c>
      <c r="B2612" s="2" t="s">
        <v>2880</v>
      </c>
      <c r="C2612" s="2" t="s">
        <v>2882</v>
      </c>
      <c r="D2612" s="3" t="str">
        <f>HYPERLINK("https://12go.asia/en/travel/hosur/quilandi", "12Go Link")</f>
        <v>12Go Link</v>
      </c>
      <c r="E2612" s="2" t="s">
        <v>77</v>
      </c>
    </row>
    <row r="2613">
      <c r="A2613" s="2" t="s">
        <v>2883</v>
      </c>
      <c r="B2613" s="2" t="s">
        <v>2884</v>
      </c>
      <c r="C2613" s="2" t="s">
        <v>2885</v>
      </c>
      <c r="D2613" s="3" t="str">
        <f>HYPERLINK("https://12go.asia/en/travel/howrah/daltonganj", "12Go Link")</f>
        <v>12Go Link</v>
      </c>
      <c r="E2613" s="2" t="s">
        <v>77</v>
      </c>
    </row>
    <row r="2614">
      <c r="A2614" s="2" t="s">
        <v>2883</v>
      </c>
      <c r="B2614" s="2" t="s">
        <v>2886</v>
      </c>
      <c r="C2614" s="2" t="s">
        <v>2887</v>
      </c>
      <c r="D2614" s="3" t="str">
        <f>HYPERLINK("https://12go.asia/en/travel/howrah/katihar", "12Go Link")</f>
        <v>12Go Link</v>
      </c>
      <c r="E2614" s="2" t="s">
        <v>77</v>
      </c>
    </row>
    <row r="2615">
      <c r="A2615" s="2" t="s">
        <v>2883</v>
      </c>
      <c r="B2615" s="2" t="s">
        <v>2886</v>
      </c>
      <c r="C2615" s="2" t="s">
        <v>2888</v>
      </c>
      <c r="D2615" s="3" t="str">
        <f>HYPERLINK("https://12go.asia/en/travel/howrah/katihar-junction", "12Go Link")</f>
        <v>12Go Link</v>
      </c>
      <c r="E2615" s="2" t="s">
        <v>77</v>
      </c>
    </row>
    <row r="2616">
      <c r="A2616" s="2" t="s">
        <v>2883</v>
      </c>
      <c r="B2616" s="2" t="s">
        <v>2889</v>
      </c>
      <c r="C2616" s="2" t="s">
        <v>2890</v>
      </c>
      <c r="D2616" s="3" t="str">
        <f>HYPERLINK("https://12go.asia/en/travel/howrah/murarai", "12Go Link")</f>
        <v>12Go Link</v>
      </c>
      <c r="E2616" s="2" t="s">
        <v>77</v>
      </c>
    </row>
    <row r="2617">
      <c r="A2617" s="2" t="s">
        <v>2416</v>
      </c>
      <c r="B2617" s="2" t="s">
        <v>2413</v>
      </c>
      <c r="C2617" s="2" t="s">
        <v>2891</v>
      </c>
      <c r="D2617" s="3" t="str">
        <f>HYPERLINK("https://12go.asia/en/travel/hyderabad/chenchupet", "12Go Link")</f>
        <v>12Go Link</v>
      </c>
      <c r="E2617" s="2" t="s">
        <v>25</v>
      </c>
    </row>
    <row r="2618">
      <c r="A2618" s="2" t="s">
        <v>2416</v>
      </c>
      <c r="B2618" s="2" t="s">
        <v>2413</v>
      </c>
      <c r="C2618" s="2" t="s">
        <v>2892</v>
      </c>
      <c r="D2618" s="3" t="str">
        <f>HYPERLINK("https://12go.asia/en/travel/hyderabad/sivaluru", "12Go Link")</f>
        <v>12Go Link</v>
      </c>
      <c r="E2618" s="2" t="s">
        <v>25</v>
      </c>
    </row>
    <row r="2619">
      <c r="A2619" s="2" t="s">
        <v>2416</v>
      </c>
      <c r="B2619" s="2" t="s">
        <v>2413</v>
      </c>
      <c r="C2619" s="2" t="s">
        <v>2893</v>
      </c>
      <c r="D2619" s="3" t="str">
        <f>HYPERLINK("https://12go.asia/en/travel/hyderabad/thimmapuram", "12Go Link")</f>
        <v>12Go Link</v>
      </c>
      <c r="E2619" s="2" t="s">
        <v>25</v>
      </c>
    </row>
    <row r="2620">
      <c r="A2620" s="2" t="s">
        <v>2416</v>
      </c>
      <c r="B2620" s="2" t="s">
        <v>2434</v>
      </c>
      <c r="C2620" s="2" t="s">
        <v>2894</v>
      </c>
      <c r="D2620" s="3" t="str">
        <f>HYPERLINK("https://12go.asia/en/travel/kacheguda/nagarsol", "12Go Link")</f>
        <v>12Go Link</v>
      </c>
      <c r="E2620" s="2" t="s">
        <v>77</v>
      </c>
    </row>
    <row r="2621">
      <c r="A2621" s="2" t="s">
        <v>2895</v>
      </c>
      <c r="B2621" s="2" t="s">
        <v>2896</v>
      </c>
      <c r="C2621" s="2" t="s">
        <v>2897</v>
      </c>
      <c r="D2621" s="3" t="str">
        <f>HYPERLINK("https://12go.asia/en/travel/ichchpuram/visakhapatnam", "12Go Link")</f>
        <v>12Go Link</v>
      </c>
      <c r="E2621" s="2" t="s">
        <v>77</v>
      </c>
    </row>
    <row r="2622">
      <c r="A2622" s="2" t="s">
        <v>2898</v>
      </c>
      <c r="B2622" s="2" t="s">
        <v>2899</v>
      </c>
      <c r="C2622" s="2" t="s">
        <v>2900</v>
      </c>
      <c r="D2622" s="3" t="str">
        <f>HYPERLINK("https://12go.asia/en/travel/indi-karnataka/hubli", "12Go Link")</f>
        <v>12Go Link</v>
      </c>
      <c r="E2622" s="2" t="s">
        <v>77</v>
      </c>
    </row>
    <row r="2623">
      <c r="A2623" s="2" t="s">
        <v>2898</v>
      </c>
      <c r="B2623" s="2" t="s">
        <v>2899</v>
      </c>
      <c r="C2623" s="2" t="s">
        <v>2901</v>
      </c>
      <c r="D2623" s="3" t="str">
        <f>HYPERLINK("https://12go.asia/en/travel/indi-road/hubballi-jn", "12Go Link")</f>
        <v>12Go Link</v>
      </c>
      <c r="E2623" s="2" t="s">
        <v>77</v>
      </c>
    </row>
    <row r="2624">
      <c r="A2624" s="2" t="s">
        <v>2902</v>
      </c>
      <c r="B2624" s="2" t="s">
        <v>2903</v>
      </c>
      <c r="C2624" s="2" t="s">
        <v>2904</v>
      </c>
      <c r="D2624" s="3" t="str">
        <f>HYPERLINK("https://12go.asia/en/travel/indore-jn-bg/biyavra-rajgarh", "12Go Link")</f>
        <v>12Go Link</v>
      </c>
      <c r="E2624" s="2" t="s">
        <v>77</v>
      </c>
    </row>
    <row r="2625">
      <c r="A2625" s="2" t="s">
        <v>2620</v>
      </c>
      <c r="B2625" s="2" t="s">
        <v>2905</v>
      </c>
      <c r="C2625" s="2" t="s">
        <v>2906</v>
      </c>
      <c r="D2625" s="3" t="str">
        <f>HYPERLINK("https://12go.asia/en/travel/itarsi/katni", "12Go Link")</f>
        <v>12Go Link</v>
      </c>
      <c r="E2625" s="2" t="s">
        <v>77</v>
      </c>
    </row>
    <row r="2626">
      <c r="A2626" s="2" t="s">
        <v>2620</v>
      </c>
      <c r="B2626" s="2" t="s">
        <v>2905</v>
      </c>
      <c r="C2626" s="2" t="s">
        <v>2907</v>
      </c>
      <c r="D2626" s="3" t="str">
        <f>HYPERLINK("https://12go.asia/en/travel/itarsi/katni-murwara", "12Go Link")</f>
        <v>12Go Link</v>
      </c>
      <c r="E2626" s="2" t="s">
        <v>77</v>
      </c>
    </row>
    <row r="2627">
      <c r="A2627" s="2" t="s">
        <v>2620</v>
      </c>
      <c r="B2627" s="2" t="s">
        <v>2905</v>
      </c>
      <c r="C2627" s="2" t="s">
        <v>2908</v>
      </c>
      <c r="D2627" s="3" t="str">
        <f>HYPERLINK("https://12go.asia/en/travel/itarsi/katni-south", "12Go Link")</f>
        <v>12Go Link</v>
      </c>
      <c r="E2627" s="2" t="s">
        <v>77</v>
      </c>
    </row>
    <row r="2628">
      <c r="A2628" s="2" t="s">
        <v>2909</v>
      </c>
      <c r="B2628" s="2" t="s">
        <v>2834</v>
      </c>
      <c r="C2628" s="2" t="s">
        <v>2910</v>
      </c>
      <c r="D2628" s="3" t="str">
        <f>HYPERLINK("https://12go.asia/en/travel/jabalpur/naini", "12Go Link")</f>
        <v>12Go Link</v>
      </c>
      <c r="E2628" s="2" t="s">
        <v>77</v>
      </c>
    </row>
    <row r="2629">
      <c r="A2629" s="2" t="s">
        <v>2909</v>
      </c>
      <c r="B2629" s="2" t="s">
        <v>2834</v>
      </c>
      <c r="C2629" s="2" t="s">
        <v>2911</v>
      </c>
      <c r="D2629" s="3" t="str">
        <f>HYPERLINK("https://12go.asia/en/travel/jabalpur/naini-junction", "12Go Link")</f>
        <v>12Go Link</v>
      </c>
      <c r="E2629" s="2" t="s">
        <v>77</v>
      </c>
    </row>
    <row r="2630">
      <c r="A2630" s="2" t="s">
        <v>2909</v>
      </c>
      <c r="B2630" s="2" t="s">
        <v>2912</v>
      </c>
      <c r="C2630" s="2" t="s">
        <v>2913</v>
      </c>
      <c r="D2630" s="3" t="str">
        <f>HYPERLINK("https://12go.asia/en/travel/jabalpur/shahdol", "12Go Link")</f>
        <v>12Go Link</v>
      </c>
      <c r="E2630" s="2" t="s">
        <v>77</v>
      </c>
    </row>
    <row r="2631">
      <c r="A2631" s="2" t="s">
        <v>2914</v>
      </c>
      <c r="B2631" s="2" t="s">
        <v>2915</v>
      </c>
      <c r="C2631" s="2" t="s">
        <v>2916</v>
      </c>
      <c r="D2631" s="3" t="str">
        <f>HYPERLINK("https://12go.asia/en/travel/jadcherla/annavaram", "12Go Link")</f>
        <v>12Go Link</v>
      </c>
      <c r="E2631" s="2" t="s">
        <v>77</v>
      </c>
    </row>
    <row r="2632">
      <c r="A2632" s="2" t="s">
        <v>2914</v>
      </c>
      <c r="B2632" s="2" t="s">
        <v>2416</v>
      </c>
      <c r="C2632" s="2" t="s">
        <v>2917</v>
      </c>
      <c r="D2632" s="3" t="str">
        <f>HYPERLINK("https://12go.asia/en/travel/jadcherla/hyderabad", "12Go Link")</f>
        <v>12Go Link</v>
      </c>
      <c r="E2632" s="2" t="s">
        <v>77</v>
      </c>
    </row>
    <row r="2633">
      <c r="A2633" s="2" t="s">
        <v>2914</v>
      </c>
      <c r="B2633" s="2" t="s">
        <v>2416</v>
      </c>
      <c r="C2633" s="2" t="s">
        <v>2918</v>
      </c>
      <c r="D2633" s="3" t="str">
        <f>HYPERLINK("https://12go.asia/en/travel/jadcherla/hyderabad-decan", "12Go Link")</f>
        <v>12Go Link</v>
      </c>
      <c r="E2633" s="2" t="s">
        <v>77</v>
      </c>
    </row>
    <row r="2634">
      <c r="A2634" s="2" t="s">
        <v>2914</v>
      </c>
      <c r="B2634" s="2" t="s">
        <v>2416</v>
      </c>
      <c r="C2634" s="2" t="s">
        <v>2919</v>
      </c>
      <c r="D2634" s="3" t="str">
        <f>HYPERLINK("https://12go.asia/en/travel/jadcherla/kacheguda", "12Go Link")</f>
        <v>12Go Link</v>
      </c>
      <c r="E2634" s="2" t="s">
        <v>77</v>
      </c>
    </row>
    <row r="2635">
      <c r="A2635" s="2" t="s">
        <v>2914</v>
      </c>
      <c r="B2635" s="2" t="s">
        <v>2683</v>
      </c>
      <c r="C2635" s="2" t="s">
        <v>2920</v>
      </c>
      <c r="D2635" s="3" t="str">
        <f>HYPERLINK("https://12go.asia/en/travel/jadcherla/lingampalli", "12Go Link")</f>
        <v>12Go Link</v>
      </c>
      <c r="E2635" s="2" t="s">
        <v>77</v>
      </c>
    </row>
    <row r="2636">
      <c r="A2636" s="2" t="s">
        <v>2914</v>
      </c>
      <c r="B2636" s="2" t="s">
        <v>2827</v>
      </c>
      <c r="C2636" s="2" t="s">
        <v>2921</v>
      </c>
      <c r="D2636" s="3" t="str">
        <f>HYPERLINK("https://12go.asia/en/travel/jadcherla/secunderabad", "12Go Link")</f>
        <v>12Go Link</v>
      </c>
      <c r="E2636" s="2" t="s">
        <v>77</v>
      </c>
    </row>
    <row r="2637">
      <c r="A2637" s="2" t="s">
        <v>2922</v>
      </c>
      <c r="B2637" s="2" t="s">
        <v>2626</v>
      </c>
      <c r="C2637" s="2" t="s">
        <v>2923</v>
      </c>
      <c r="D2637" s="3" t="str">
        <f>HYPERLINK("https://12go.asia/en/travel/jainagar-bihar/west-bengal", "12Go Link")</f>
        <v>12Go Link</v>
      </c>
      <c r="E2637" s="2" t="s">
        <v>77</v>
      </c>
    </row>
    <row r="2638">
      <c r="A2638" s="2" t="s">
        <v>2459</v>
      </c>
      <c r="B2638" s="2" t="s">
        <v>2356</v>
      </c>
      <c r="C2638" s="2" t="s">
        <v>2924</v>
      </c>
      <c r="D2638" s="3" t="str">
        <f>HYPERLINK("https://12go.asia/en/travel/jaipur/daman", "12Go Link")</f>
        <v>12Go Link</v>
      </c>
      <c r="E2638" s="2" t="s">
        <v>77</v>
      </c>
    </row>
    <row r="2639">
      <c r="A2639" s="2" t="s">
        <v>2459</v>
      </c>
      <c r="B2639" s="2" t="s">
        <v>2925</v>
      </c>
      <c r="C2639" s="2" t="s">
        <v>2926</v>
      </c>
      <c r="D2639" s="3" t="str">
        <f>HYPERLINK("https://12go.asia/en/travel/dahar-ka-balaji/sawai-madhopur", "12Go Link")</f>
        <v>12Go Link</v>
      </c>
      <c r="E2639" s="2" t="s">
        <v>77</v>
      </c>
    </row>
    <row r="2640">
      <c r="A2640" s="2" t="s">
        <v>2927</v>
      </c>
      <c r="B2640" s="2" t="s">
        <v>2703</v>
      </c>
      <c r="C2640" s="2" t="s">
        <v>2928</v>
      </c>
      <c r="D2640" s="3" t="str">
        <f>HYPERLINK("https://12go.asia/en/travel/jalandhar/mughalsarai", "12Go Link")</f>
        <v>12Go Link</v>
      </c>
      <c r="E2640" s="2" t="s">
        <v>77</v>
      </c>
    </row>
    <row r="2641">
      <c r="A2641" s="2" t="s">
        <v>2927</v>
      </c>
      <c r="B2641" s="2" t="s">
        <v>2377</v>
      </c>
      <c r="C2641" s="2" t="s">
        <v>2929</v>
      </c>
      <c r="D2641" s="3" t="str">
        <f>HYPERLINK("https://12go.asia/en/travel/jalandhar/prayagraj-junction", "12Go Link")</f>
        <v>12Go Link</v>
      </c>
      <c r="E2641" s="2" t="s">
        <v>77</v>
      </c>
    </row>
    <row r="2642">
      <c r="A2642" s="2" t="s">
        <v>2927</v>
      </c>
      <c r="B2642" s="2" t="s">
        <v>2377</v>
      </c>
      <c r="C2642" s="2" t="s">
        <v>2930</v>
      </c>
      <c r="D2642" s="3" t="str">
        <f>HYPERLINK("https://12go.asia/en/travel/jalandhar/prayagraj", "12Go Link")</f>
        <v>12Go Link</v>
      </c>
      <c r="E2642" s="2" t="s">
        <v>77</v>
      </c>
    </row>
    <row r="2643">
      <c r="A2643" s="2" t="s">
        <v>2931</v>
      </c>
      <c r="B2643" s="2" t="s">
        <v>2670</v>
      </c>
      <c r="C2643" s="2" t="s">
        <v>2932</v>
      </c>
      <c r="D2643" s="3" t="str">
        <f>HYPERLINK("https://12go.asia/en/travel/jalgaon/chhattisgarh", "12Go Link")</f>
        <v>12Go Link</v>
      </c>
      <c r="E2643" s="2" t="s">
        <v>77</v>
      </c>
    </row>
    <row r="2644">
      <c r="A2644" s="2" t="s">
        <v>2931</v>
      </c>
      <c r="B2644" s="2" t="s">
        <v>2752</v>
      </c>
      <c r="C2644" s="2" t="s">
        <v>2933</v>
      </c>
      <c r="D2644" s="3" t="str">
        <f>HYPERLINK("https://12go.asia/en/travel/jalgaon-jn/raipur-jn", "12Go Link")</f>
        <v>12Go Link</v>
      </c>
      <c r="E2644" s="2" t="s">
        <v>77</v>
      </c>
    </row>
    <row r="2645">
      <c r="A2645" s="2" t="s">
        <v>2931</v>
      </c>
      <c r="B2645" s="2" t="s">
        <v>2752</v>
      </c>
      <c r="C2645" s="2" t="s">
        <v>2934</v>
      </c>
      <c r="D2645" s="3" t="str">
        <f>HYPERLINK("https://12go.asia/en/travel/jalgaon/raipur", "12Go Link")</f>
        <v>12Go Link</v>
      </c>
      <c r="E2645" s="2" t="s">
        <v>77</v>
      </c>
    </row>
    <row r="2646">
      <c r="A2646" s="2" t="s">
        <v>2931</v>
      </c>
      <c r="B2646" s="2" t="s">
        <v>2308</v>
      </c>
      <c r="C2646" s="2" t="s">
        <v>2935</v>
      </c>
      <c r="D2646" s="3" t="str">
        <f>HYPERLINK("https://12go.asia/en/travel/jalgaon-jn/sangli", "12Go Link")</f>
        <v>12Go Link</v>
      </c>
      <c r="E2646" s="2" t="s">
        <v>77</v>
      </c>
    </row>
    <row r="2647">
      <c r="A2647" s="2" t="s">
        <v>2931</v>
      </c>
      <c r="B2647" s="2" t="s">
        <v>2308</v>
      </c>
      <c r="C2647" s="2" t="s">
        <v>2936</v>
      </c>
      <c r="D2647" s="3" t="str">
        <f>HYPERLINK("https://12go.asia/en/travel/jalgaon/sangli", "12Go Link")</f>
        <v>12Go Link</v>
      </c>
      <c r="E2647" s="2" t="s">
        <v>77</v>
      </c>
    </row>
    <row r="2648">
      <c r="A2648" s="2" t="s">
        <v>2931</v>
      </c>
      <c r="B2648" s="2" t="s">
        <v>2550</v>
      </c>
      <c r="C2648" s="2" t="s">
        <v>2937</v>
      </c>
      <c r="D2648" s="3" t="str">
        <f>HYPERLINK("https://12go.asia/en/travel/jalgaon/varanasi", "12Go Link")</f>
        <v>12Go Link</v>
      </c>
      <c r="E2648" s="2" t="s">
        <v>77</v>
      </c>
    </row>
    <row r="2649">
      <c r="A2649" s="2" t="s">
        <v>2938</v>
      </c>
      <c r="B2649" s="2" t="s">
        <v>2416</v>
      </c>
      <c r="C2649" s="2" t="s">
        <v>2939</v>
      </c>
      <c r="D2649" s="3" t="str">
        <f>HYPERLINK("https://12go.asia/en/travel/jalna/kacheguda", "12Go Link")</f>
        <v>12Go Link</v>
      </c>
      <c r="E2649" s="2" t="s">
        <v>77</v>
      </c>
    </row>
    <row r="2650">
      <c r="A2650" s="2" t="s">
        <v>2938</v>
      </c>
      <c r="B2650" s="2" t="s">
        <v>2827</v>
      </c>
      <c r="C2650" s="2" t="s">
        <v>2940</v>
      </c>
      <c r="D2650" s="3" t="str">
        <f>HYPERLINK("https://12go.asia/en/travel/jalna/secunderabad", "12Go Link")</f>
        <v>12Go Link</v>
      </c>
      <c r="E2650" s="2" t="s">
        <v>77</v>
      </c>
    </row>
    <row r="2651">
      <c r="A2651" s="2" t="s">
        <v>2938</v>
      </c>
      <c r="B2651" s="2" t="s">
        <v>2641</v>
      </c>
      <c r="C2651" s="2" t="s">
        <v>2941</v>
      </c>
      <c r="D2651" s="3" t="str">
        <f>HYPERLINK("https://12go.asia/en/travel/jalna/telangana", "12Go Link")</f>
        <v>12Go Link</v>
      </c>
      <c r="E2651" s="2" t="s">
        <v>77</v>
      </c>
    </row>
    <row r="2652">
      <c r="A2652" s="2" t="s">
        <v>2942</v>
      </c>
      <c r="B2652" s="2" t="s">
        <v>2943</v>
      </c>
      <c r="C2652" s="2" t="s">
        <v>2944</v>
      </c>
      <c r="D2652" s="3" t="str">
        <f>HYPERLINK("https://12go.asia/en/travel/jamalpur/bihar", "12Go Link")</f>
        <v>12Go Link</v>
      </c>
      <c r="E2652" s="2" t="s">
        <v>77</v>
      </c>
    </row>
    <row r="2653">
      <c r="A2653" s="2" t="s">
        <v>2385</v>
      </c>
      <c r="B2653" s="2" t="s">
        <v>2945</v>
      </c>
      <c r="C2653" s="2" t="s">
        <v>2946</v>
      </c>
      <c r="D2653" s="3" t="str">
        <f>HYPERLINK("https://12go.asia/en/travel/jammu-tawi/barmer", "12Go Link")</f>
        <v>12Go Link</v>
      </c>
      <c r="E2653" s="2" t="s">
        <v>77</v>
      </c>
    </row>
    <row r="2654">
      <c r="A2654" s="2" t="s">
        <v>2385</v>
      </c>
      <c r="B2654" s="2" t="s">
        <v>2945</v>
      </c>
      <c r="C2654" s="2" t="s">
        <v>2947</v>
      </c>
      <c r="D2654" s="3" t="str">
        <f>HYPERLINK("https://12go.asia/en/travel/jammu/barmer", "12Go Link")</f>
        <v>12Go Link</v>
      </c>
      <c r="E2654" s="2" t="s">
        <v>77</v>
      </c>
    </row>
    <row r="2655">
      <c r="A2655" s="2" t="s">
        <v>2385</v>
      </c>
      <c r="B2655" s="2" t="s">
        <v>2802</v>
      </c>
      <c r="C2655" s="2" t="s">
        <v>2948</v>
      </c>
      <c r="D2655" s="3" t="str">
        <f>HYPERLINK("https://12go.asia/en/travel/jammu-tawi/ghaziabad", "12Go Link")</f>
        <v>12Go Link</v>
      </c>
      <c r="E2655" s="2" t="s">
        <v>77</v>
      </c>
    </row>
    <row r="2656">
      <c r="A2656" s="2" t="s">
        <v>2385</v>
      </c>
      <c r="B2656" s="2" t="s">
        <v>2532</v>
      </c>
      <c r="C2656" s="2" t="s">
        <v>2949</v>
      </c>
      <c r="D2656" s="3" t="str">
        <f>HYPERLINK("https://12go.asia/en/travel/jammu-tawi/kanyakumari", "12Go Link")</f>
        <v>12Go Link</v>
      </c>
      <c r="E2656" s="2" t="s">
        <v>77</v>
      </c>
    </row>
    <row r="2657">
      <c r="A2657" s="2" t="s">
        <v>2385</v>
      </c>
      <c r="B2657" s="2" t="s">
        <v>2532</v>
      </c>
      <c r="C2657" s="2" t="s">
        <v>2950</v>
      </c>
      <c r="D2657" s="3" t="str">
        <f>HYPERLINK("https://12go.asia/en/travel/jammu/kanyakumari", "12Go Link")</f>
        <v>12Go Link</v>
      </c>
      <c r="E2657" s="2" t="s">
        <v>77</v>
      </c>
    </row>
    <row r="2658">
      <c r="A2658" s="2" t="s">
        <v>2385</v>
      </c>
      <c r="B2658" s="2" t="s">
        <v>2537</v>
      </c>
      <c r="C2658" s="2" t="s">
        <v>2951</v>
      </c>
      <c r="D2658" s="3" t="str">
        <f>HYPERLINK("https://12go.asia/en/travel/jammu-tawi/nagercoil-jn", "12Go Link")</f>
        <v>12Go Link</v>
      </c>
      <c r="E2658" s="2" t="s">
        <v>77</v>
      </c>
    </row>
    <row r="2659">
      <c r="A2659" s="2" t="s">
        <v>2385</v>
      </c>
      <c r="B2659" s="2" t="s">
        <v>2537</v>
      </c>
      <c r="C2659" s="2" t="s">
        <v>2952</v>
      </c>
      <c r="D2659" s="3" t="str">
        <f>HYPERLINK("https://12go.asia/en/travel/jammu/nagercoil", "12Go Link")</f>
        <v>12Go Link</v>
      </c>
      <c r="E2659" s="2" t="s">
        <v>77</v>
      </c>
    </row>
    <row r="2660">
      <c r="A2660" s="2" t="s">
        <v>2385</v>
      </c>
      <c r="B2660" s="2" t="s">
        <v>2827</v>
      </c>
      <c r="C2660" s="2" t="s">
        <v>2953</v>
      </c>
      <c r="D2660" s="3" t="str">
        <f>HYPERLINK("https://12go.asia/en/travel/jammu-tawi/secunderabad", "12Go Link")</f>
        <v>12Go Link</v>
      </c>
      <c r="E2660" s="2" t="s">
        <v>77</v>
      </c>
    </row>
    <row r="2661">
      <c r="A2661" s="2" t="s">
        <v>2373</v>
      </c>
      <c r="B2661" s="2" t="s">
        <v>2945</v>
      </c>
      <c r="C2661" s="2" t="s">
        <v>2954</v>
      </c>
      <c r="D2661" s="3" t="str">
        <f>HYPERLINK("https://12go.asia/en/travel/jammu-and-kashmir/barmer", "12Go Link")</f>
        <v>12Go Link</v>
      </c>
      <c r="E2661" s="2" t="s">
        <v>77</v>
      </c>
    </row>
    <row r="2662">
      <c r="A2662" s="2" t="s">
        <v>2373</v>
      </c>
      <c r="B2662" s="2" t="s">
        <v>2802</v>
      </c>
      <c r="C2662" s="2" t="s">
        <v>2955</v>
      </c>
      <c r="D2662" s="3" t="str">
        <f>HYPERLINK("https://12go.asia/en/travel/jammu-and-kashmir/ghaziabad", "12Go Link")</f>
        <v>12Go Link</v>
      </c>
      <c r="E2662" s="2" t="s">
        <v>77</v>
      </c>
    </row>
    <row r="2663">
      <c r="A2663" s="2" t="s">
        <v>2373</v>
      </c>
      <c r="B2663" s="2" t="s">
        <v>2956</v>
      </c>
      <c r="C2663" s="2" t="s">
        <v>2957</v>
      </c>
      <c r="D2663" s="3" t="str">
        <f>HYPERLINK("https://12go.asia/en/travel/jammu-and-kashmir/meerut", "12Go Link")</f>
        <v>12Go Link</v>
      </c>
      <c r="E2663" s="2" t="s">
        <v>77</v>
      </c>
    </row>
    <row r="2664">
      <c r="A2664" s="2" t="s">
        <v>2373</v>
      </c>
      <c r="B2664" s="2" t="s">
        <v>2537</v>
      </c>
      <c r="C2664" s="2" t="s">
        <v>2958</v>
      </c>
      <c r="D2664" s="3" t="str">
        <f>HYPERLINK("https://12go.asia/en/travel/jammu-and-kashmir/nagercoil", "12Go Link")</f>
        <v>12Go Link</v>
      </c>
      <c r="E2664" s="2" t="s">
        <v>77</v>
      </c>
    </row>
    <row r="2665">
      <c r="A2665" s="2" t="s">
        <v>2373</v>
      </c>
      <c r="B2665" s="2" t="s">
        <v>2959</v>
      </c>
      <c r="C2665" s="2" t="s">
        <v>2960</v>
      </c>
      <c r="D2665" s="3" t="str">
        <f>HYPERLINK("https://12go.asia/en/travel/jammu-and-kashmir/rewari", "12Go Link")</f>
        <v>12Go Link</v>
      </c>
      <c r="E2665" s="2" t="s">
        <v>77</v>
      </c>
    </row>
    <row r="2666">
      <c r="A2666" s="2" t="s">
        <v>2373</v>
      </c>
      <c r="B2666" s="2" t="s">
        <v>2509</v>
      </c>
      <c r="C2666" s="2" t="s">
        <v>2961</v>
      </c>
      <c r="D2666" s="3" t="str">
        <f>HYPERLINK("https://12go.asia/en/travel/jammu-and-kashmir/tundla", "12Go Link")</f>
        <v>12Go Link</v>
      </c>
      <c r="E2666" s="2" t="s">
        <v>77</v>
      </c>
    </row>
    <row r="2667">
      <c r="A2667" s="2" t="s">
        <v>2373</v>
      </c>
      <c r="B2667" s="2" t="s">
        <v>2279</v>
      </c>
      <c r="C2667" s="2" t="s">
        <v>2962</v>
      </c>
      <c r="D2667" s="3" t="str">
        <f>HYPERLINK("https://12go.asia/en/travel/jammu-and-kashmir/vrindavan", "12Go Link")</f>
        <v>12Go Link</v>
      </c>
      <c r="E2667" s="2" t="s">
        <v>77</v>
      </c>
    </row>
    <row r="2668">
      <c r="A2668" s="2" t="s">
        <v>2375</v>
      </c>
      <c r="B2668" s="2" t="s">
        <v>2802</v>
      </c>
      <c r="C2668" s="2" t="s">
        <v>2963</v>
      </c>
      <c r="D2668" s="3" t="str">
        <f>HYPERLINK("https://12go.asia/en/travel/jammu-kashmir/ghaziabad", "12Go Link")</f>
        <v>12Go Link</v>
      </c>
      <c r="E2668" s="2" t="s">
        <v>77</v>
      </c>
    </row>
    <row r="2669">
      <c r="A2669" s="2" t="s">
        <v>2375</v>
      </c>
      <c r="B2669" s="2" t="s">
        <v>2956</v>
      </c>
      <c r="C2669" s="2" t="s">
        <v>2964</v>
      </c>
      <c r="D2669" s="3" t="str">
        <f>HYPERLINK("https://12go.asia/en/travel/jammu-kashmir/meerut", "12Go Link")</f>
        <v>12Go Link</v>
      </c>
      <c r="E2669" s="2" t="s">
        <v>77</v>
      </c>
    </row>
    <row r="2670">
      <c r="A2670" s="2" t="s">
        <v>2375</v>
      </c>
      <c r="B2670" s="2" t="s">
        <v>2965</v>
      </c>
      <c r="C2670" s="2" t="s">
        <v>2966</v>
      </c>
      <c r="D2670" s="3" t="str">
        <f>HYPERLINK("https://12go.asia/en/travel/jammu-kashmir/raiwala", "12Go Link")</f>
        <v>12Go Link</v>
      </c>
      <c r="E2670" s="2" t="s">
        <v>77</v>
      </c>
    </row>
    <row r="2671">
      <c r="A2671" s="2" t="s">
        <v>2375</v>
      </c>
      <c r="B2671" s="2" t="s">
        <v>2827</v>
      </c>
      <c r="C2671" s="2" t="s">
        <v>2967</v>
      </c>
      <c r="D2671" s="3" t="str">
        <f>HYPERLINK("https://12go.asia/en/travel/jammu-kashmir/secunderabad", "12Go Link")</f>
        <v>12Go Link</v>
      </c>
      <c r="E2671" s="2" t="s">
        <v>77</v>
      </c>
    </row>
    <row r="2672">
      <c r="A2672" s="2" t="s">
        <v>2375</v>
      </c>
      <c r="B2672" s="2" t="s">
        <v>2968</v>
      </c>
      <c r="C2672" s="2" t="s">
        <v>2969</v>
      </c>
      <c r="D2672" s="3" t="str">
        <f>HYPERLINK("https://12go.asia/en/travel/jammu-kashmir/taj-mahal", "12Go Link")</f>
        <v>12Go Link</v>
      </c>
      <c r="E2672" s="2" t="s">
        <v>77</v>
      </c>
    </row>
    <row r="2673">
      <c r="A2673" s="2" t="s">
        <v>2970</v>
      </c>
      <c r="B2673" s="2" t="s">
        <v>2356</v>
      </c>
      <c r="C2673" s="2" t="s">
        <v>2971</v>
      </c>
      <c r="D2673" s="3" t="str">
        <f>HYPERLINK("https://12go.asia/en/travel/jamnagar/daman", "12Go Link")</f>
        <v>12Go Link</v>
      </c>
      <c r="E2673" s="2" t="s">
        <v>77</v>
      </c>
    </row>
    <row r="2674">
      <c r="A2674" s="2" t="s">
        <v>2970</v>
      </c>
      <c r="B2674" s="2" t="s">
        <v>2972</v>
      </c>
      <c r="C2674" s="2" t="s">
        <v>2973</v>
      </c>
      <c r="D2674" s="3" t="str">
        <f>HYPERLINK("https://12go.asia/en/travel/jamnagar/valsad", "12Go Link")</f>
        <v>12Go Link</v>
      </c>
      <c r="E2674" s="2" t="s">
        <v>77</v>
      </c>
    </row>
    <row r="2675">
      <c r="A2675" s="2" t="s">
        <v>2974</v>
      </c>
      <c r="B2675" s="2" t="s">
        <v>2516</v>
      </c>
      <c r="C2675" s="2" t="s">
        <v>2975</v>
      </c>
      <c r="D2675" s="3" t="str">
        <f>HYPERLINK("https://12go.asia/en/travel/jamshedpur/bangalore", "12Go Link")</f>
        <v>12Go Link</v>
      </c>
      <c r="E2675" s="2" t="s">
        <v>77</v>
      </c>
    </row>
    <row r="2676">
      <c r="A2676" s="2" t="s">
        <v>2974</v>
      </c>
      <c r="B2676" s="2" t="s">
        <v>2976</v>
      </c>
      <c r="C2676" s="2" t="s">
        <v>2977</v>
      </c>
      <c r="D2676" s="3" t="str">
        <f>HYPERLINK("https://12go.asia/en/travel/jamshedpur/buxar", "12Go Link")</f>
        <v>12Go Link</v>
      </c>
      <c r="E2676" s="2" t="s">
        <v>77</v>
      </c>
    </row>
    <row r="2677">
      <c r="A2677" s="2" t="s">
        <v>2974</v>
      </c>
      <c r="B2677" s="2" t="s">
        <v>2700</v>
      </c>
      <c r="C2677" s="2" t="s">
        <v>2978</v>
      </c>
      <c r="D2677" s="3" t="str">
        <f>HYPERLINK("https://12go.asia/en/travel/jamshedpur/karnataka", "12Go Link")</f>
        <v>12Go Link</v>
      </c>
      <c r="E2677" s="2" t="s">
        <v>77</v>
      </c>
    </row>
    <row r="2678">
      <c r="A2678" s="2" t="s">
        <v>2974</v>
      </c>
      <c r="B2678" s="2" t="s">
        <v>2979</v>
      </c>
      <c r="C2678" s="2" t="s">
        <v>2980</v>
      </c>
      <c r="D2678" s="3" t="str">
        <f>HYPERLINK("https://12go.asia/en/travel/jamshedpur/kerala", "12Go Link")</f>
        <v>12Go Link</v>
      </c>
      <c r="E2678" s="2" t="s">
        <v>77</v>
      </c>
    </row>
    <row r="2679">
      <c r="A2679" s="2" t="s">
        <v>2498</v>
      </c>
      <c r="B2679" s="2" t="s">
        <v>2434</v>
      </c>
      <c r="C2679" s="2" t="s">
        <v>2981</v>
      </c>
      <c r="D2679" s="3" t="str">
        <f>HYPERLINK("https://12go.asia/en/travel/jaunpur/maharashtra", "12Go Link")</f>
        <v>12Go Link</v>
      </c>
      <c r="E2679" s="2" t="s">
        <v>77</v>
      </c>
    </row>
    <row r="2680">
      <c r="A2680" s="2" t="s">
        <v>2982</v>
      </c>
      <c r="B2680" s="2" t="s">
        <v>2983</v>
      </c>
      <c r="C2680" s="2" t="s">
        <v>2984</v>
      </c>
      <c r="D2680" s="3" t="str">
        <f>HYPERLINK("https://12go.asia/en/travel/jhalida/ranchi", "12Go Link")</f>
        <v>12Go Link</v>
      </c>
      <c r="E2680" s="2" t="s">
        <v>77</v>
      </c>
    </row>
    <row r="2681">
      <c r="A2681" s="2" t="s">
        <v>2315</v>
      </c>
      <c r="B2681" s="2" t="s">
        <v>2431</v>
      </c>
      <c r="C2681" s="2" t="s">
        <v>2985</v>
      </c>
      <c r="D2681" s="3" t="str">
        <f>HYPERLINK("https://12go.asia/en/travel/jhansi/ernakulam", "12Go Link")</f>
        <v>12Go Link</v>
      </c>
      <c r="E2681" s="2" t="s">
        <v>77</v>
      </c>
    </row>
    <row r="2682">
      <c r="A2682" s="2" t="s">
        <v>2986</v>
      </c>
      <c r="B2682" s="2" t="s">
        <v>2987</v>
      </c>
      <c r="C2682" s="2" t="s">
        <v>2988</v>
      </c>
      <c r="D2682" s="3" t="str">
        <f>HYPERLINK("https://12go.asia/en/travel/jharkhand/jamui", "12Go Link")</f>
        <v>12Go Link</v>
      </c>
      <c r="E2682" s="2" t="s">
        <v>77</v>
      </c>
    </row>
    <row r="2683">
      <c r="A2683" s="2" t="s">
        <v>2986</v>
      </c>
      <c r="B2683" s="2" t="s">
        <v>2989</v>
      </c>
      <c r="C2683" s="2" t="s">
        <v>2990</v>
      </c>
      <c r="D2683" s="3" t="str">
        <f>HYPERLINK("https://12go.asia/en/travel/jharkhand/pakur", "12Go Link")</f>
        <v>12Go Link</v>
      </c>
      <c r="E2683" s="2" t="s">
        <v>77</v>
      </c>
    </row>
    <row r="2684">
      <c r="A2684" s="2" t="s">
        <v>2986</v>
      </c>
      <c r="B2684" s="2" t="s">
        <v>2991</v>
      </c>
      <c r="C2684" s="2" t="s">
        <v>2992</v>
      </c>
      <c r="D2684" s="3" t="str">
        <f>HYPERLINK("https://12go.asia/en/travel/jharkhand/sambalpur", "12Go Link")</f>
        <v>12Go Link</v>
      </c>
      <c r="E2684" s="2" t="s">
        <v>77</v>
      </c>
    </row>
    <row r="2685">
      <c r="A2685" s="2" t="s">
        <v>2832</v>
      </c>
      <c r="B2685" s="2" t="s">
        <v>2377</v>
      </c>
      <c r="C2685" s="2" t="s">
        <v>2993</v>
      </c>
      <c r="D2685" s="3" t="str">
        <f>HYPERLINK("https://12go.asia/en/travel/jhusi/allahabad-city", "12Go Link")</f>
        <v>12Go Link</v>
      </c>
      <c r="E2685" s="2" t="s">
        <v>77</v>
      </c>
    </row>
    <row r="2686">
      <c r="A2686" s="2" t="s">
        <v>2832</v>
      </c>
      <c r="B2686" s="2" t="s">
        <v>2377</v>
      </c>
      <c r="C2686" s="2" t="s">
        <v>2994</v>
      </c>
      <c r="D2686" s="3" t="str">
        <f>HYPERLINK("https://12go.asia/en/travel/jhusi/prayagraj", "12Go Link")</f>
        <v>12Go Link</v>
      </c>
      <c r="E2686" s="2" t="s">
        <v>77</v>
      </c>
    </row>
    <row r="2687">
      <c r="A2687" s="2" t="s">
        <v>2832</v>
      </c>
      <c r="B2687" s="2" t="s">
        <v>2550</v>
      </c>
      <c r="C2687" s="2" t="s">
        <v>2995</v>
      </c>
      <c r="D2687" s="3" t="str">
        <f>HYPERLINK("https://12go.asia/en/travel/jhusi/banaras", "12Go Link")</f>
        <v>12Go Link</v>
      </c>
      <c r="E2687" s="2" t="s">
        <v>77</v>
      </c>
    </row>
    <row r="2688">
      <c r="A2688" s="2" t="s">
        <v>2832</v>
      </c>
      <c r="B2688" s="2" t="s">
        <v>2550</v>
      </c>
      <c r="C2688" s="2" t="s">
        <v>2996</v>
      </c>
      <c r="D2688" s="3" t="str">
        <f>HYPERLINK("https://12go.asia/en/travel/jhusi/varanasi", "12Go Link")</f>
        <v>12Go Link</v>
      </c>
      <c r="E2688" s="2" t="s">
        <v>77</v>
      </c>
    </row>
    <row r="2689">
      <c r="A2689" s="2" t="s">
        <v>2832</v>
      </c>
      <c r="B2689" s="2" t="s">
        <v>2550</v>
      </c>
      <c r="C2689" s="2" t="s">
        <v>2997</v>
      </c>
      <c r="D2689" s="3" t="str">
        <f>HYPERLINK("https://12go.asia/en/travel/jhusi/varanasi-jn", "12Go Link")</f>
        <v>12Go Link</v>
      </c>
      <c r="E2689" s="2" t="s">
        <v>77</v>
      </c>
    </row>
    <row r="2690">
      <c r="A2690" s="2" t="s">
        <v>2998</v>
      </c>
      <c r="B2690" s="2" t="s">
        <v>2434</v>
      </c>
      <c r="C2690" s="2" t="s">
        <v>2999</v>
      </c>
      <c r="D2690" s="3" t="str">
        <f>HYPERLINK("https://12go.asia/en/travel/jind/maharashtra", "12Go Link")</f>
        <v>12Go Link</v>
      </c>
      <c r="E2690" s="2" t="s">
        <v>77</v>
      </c>
    </row>
    <row r="2691">
      <c r="A2691" s="2" t="s">
        <v>3000</v>
      </c>
      <c r="B2691" s="2" t="s">
        <v>2479</v>
      </c>
      <c r="C2691" s="2" t="s">
        <v>3001</v>
      </c>
      <c r="D2691" s="3" t="str">
        <f>HYPERLINK("https://12go.asia/en/travel/jodhpur-jn/coimbatore", "12Go Link")</f>
        <v>12Go Link</v>
      </c>
      <c r="E2691" s="2" t="s">
        <v>77</v>
      </c>
    </row>
    <row r="2692">
      <c r="A2692" s="2" t="s">
        <v>3000</v>
      </c>
      <c r="B2692" s="2" t="s">
        <v>2479</v>
      </c>
      <c r="C2692" s="2" t="s">
        <v>3002</v>
      </c>
      <c r="D2692" s="3" t="str">
        <f>HYPERLINK("https://12go.asia/en/travel/jodhpur/coimbatore", "12Go Link")</f>
        <v>12Go Link</v>
      </c>
      <c r="E2692" s="2" t="s">
        <v>77</v>
      </c>
    </row>
    <row r="2693">
      <c r="A2693" s="2" t="s">
        <v>3000</v>
      </c>
      <c r="B2693" s="2" t="s">
        <v>2356</v>
      </c>
      <c r="C2693" s="2" t="s">
        <v>3003</v>
      </c>
      <c r="D2693" s="3" t="str">
        <f>HYPERLINK("https://12go.asia/en/travel/jodhpur/daman", "12Go Link")</f>
        <v>12Go Link</v>
      </c>
      <c r="E2693" s="2" t="s">
        <v>77</v>
      </c>
    </row>
    <row r="2694">
      <c r="A2694" s="2" t="s">
        <v>3000</v>
      </c>
      <c r="B2694" s="2" t="s">
        <v>2782</v>
      </c>
      <c r="C2694" s="2" t="s">
        <v>3004</v>
      </c>
      <c r="D2694" s="3" t="str">
        <f>HYPERLINK("https://12go.asia/en/travel/jodhpur/tamil-nadu", "12Go Link")</f>
        <v>12Go Link</v>
      </c>
      <c r="E2694" s="2" t="s">
        <v>77</v>
      </c>
    </row>
    <row r="2695">
      <c r="A2695" s="2" t="s">
        <v>3000</v>
      </c>
      <c r="B2695" s="2" t="s">
        <v>2367</v>
      </c>
      <c r="C2695" s="2" t="s">
        <v>3005</v>
      </c>
      <c r="D2695" s="3" t="str">
        <f>HYPERLINK("https://12go.asia/en/travel/jodhpur-jn/vapi", "12Go Link")</f>
        <v>12Go Link</v>
      </c>
      <c r="E2695" s="2" t="s">
        <v>77</v>
      </c>
    </row>
    <row r="2696">
      <c r="A2696" s="2" t="s">
        <v>3006</v>
      </c>
      <c r="B2696" s="2" t="s">
        <v>2441</v>
      </c>
      <c r="C2696" s="2" t="s">
        <v>3007</v>
      </c>
      <c r="D2696" s="3" t="str">
        <f>HYPERLINK("https://12go.asia/en/travel/jolarpet/podanur", "12Go Link")</f>
        <v>12Go Link</v>
      </c>
      <c r="E2696" s="2" t="s">
        <v>77</v>
      </c>
    </row>
    <row r="2697">
      <c r="A2697" s="2" t="s">
        <v>3006</v>
      </c>
      <c r="B2697" s="2" t="s">
        <v>2441</v>
      </c>
      <c r="C2697" s="2" t="s">
        <v>3008</v>
      </c>
      <c r="D2697" s="3" t="str">
        <f>HYPERLINK("https://12go.asia/en/travel/jolarpettai/podanur-junction", "12Go Link")</f>
        <v>12Go Link</v>
      </c>
      <c r="E2697" s="2" t="s">
        <v>77</v>
      </c>
    </row>
    <row r="2698">
      <c r="A2698" s="2" t="s">
        <v>3009</v>
      </c>
      <c r="B2698" s="2" t="s">
        <v>3010</v>
      </c>
      <c r="C2698" s="2" t="s">
        <v>3011</v>
      </c>
      <c r="D2698" s="3" t="str">
        <f>HYPERLINK("https://12go.asia/en/travel/kadur/hubballi-dharwad", "12Go Link")</f>
        <v>12Go Link</v>
      </c>
      <c r="E2698" s="2" t="s">
        <v>77</v>
      </c>
    </row>
    <row r="2699">
      <c r="A2699" s="2" t="s">
        <v>3009</v>
      </c>
      <c r="B2699" s="2" t="s">
        <v>2899</v>
      </c>
      <c r="C2699" s="2" t="s">
        <v>3012</v>
      </c>
      <c r="D2699" s="3" t="str">
        <f>HYPERLINK("https://12go.asia/en/travel/kadur/hubballi-jn", "12Go Link")</f>
        <v>12Go Link</v>
      </c>
      <c r="E2699" s="2" t="s">
        <v>77</v>
      </c>
    </row>
    <row r="2700">
      <c r="A2700" s="2" t="s">
        <v>3009</v>
      </c>
      <c r="B2700" s="2" t="s">
        <v>2899</v>
      </c>
      <c r="C2700" s="2" t="s">
        <v>3013</v>
      </c>
      <c r="D2700" s="3" t="str">
        <f>HYPERLINK("https://12go.asia/en/travel/kadur/hubli", "12Go Link")</f>
        <v>12Go Link</v>
      </c>
      <c r="E2700" s="2" t="s">
        <v>77</v>
      </c>
    </row>
    <row r="2701">
      <c r="A2701" s="2" t="s">
        <v>3009</v>
      </c>
      <c r="B2701" s="2" t="s">
        <v>3014</v>
      </c>
      <c r="C2701" s="2" t="s">
        <v>3015</v>
      </c>
      <c r="D2701" s="3" t="str">
        <f>HYPERLINK("https://12go.asia/en/travel/kadur/mangalore", "12Go Link")</f>
        <v>12Go Link</v>
      </c>
      <c r="E2701" s="2" t="s">
        <v>77</v>
      </c>
    </row>
    <row r="2702">
      <c r="A2702" s="2" t="s">
        <v>3016</v>
      </c>
      <c r="B2702" s="2" t="s">
        <v>3017</v>
      </c>
      <c r="C2702" s="2" t="s">
        <v>3018</v>
      </c>
      <c r="D2702" s="3" t="str">
        <f>HYPERLINK("https://12go.asia/en/travel/kakinada-town/pondicherry", "12Go Link")</f>
        <v>12Go Link</v>
      </c>
      <c r="E2702" s="2" t="s">
        <v>77</v>
      </c>
    </row>
    <row r="2703">
      <c r="A2703" s="2" t="s">
        <v>3016</v>
      </c>
      <c r="B2703" s="2" t="s">
        <v>3017</v>
      </c>
      <c r="C2703" s="2" t="s">
        <v>3019</v>
      </c>
      <c r="D2703" s="3" t="str">
        <f>HYPERLINK("https://12go.asia/en/travel/kakinada/puducherry", "12Go Link")</f>
        <v>12Go Link</v>
      </c>
      <c r="E2703" s="2" t="s">
        <v>77</v>
      </c>
    </row>
    <row r="2704">
      <c r="A2704" s="2" t="s">
        <v>3020</v>
      </c>
      <c r="B2704" s="2" t="s">
        <v>2330</v>
      </c>
      <c r="C2704" s="2" t="s">
        <v>3021</v>
      </c>
      <c r="D2704" s="3" t="str">
        <f>HYPERLINK("https://12go.asia/en/travel/kalaburagi-junction/ahmedabad-jn", "12Go Link")</f>
        <v>12Go Link</v>
      </c>
      <c r="E2704" s="2" t="s">
        <v>77</v>
      </c>
    </row>
    <row r="2705">
      <c r="A2705" s="2" t="s">
        <v>3020</v>
      </c>
      <c r="B2705" s="2" t="s">
        <v>2604</v>
      </c>
      <c r="C2705" s="2" t="s">
        <v>3022</v>
      </c>
      <c r="D2705" s="3" t="str">
        <f>HYPERLINK("https://12go.asia/en/travel/kalaburagi-junction/chennai-central", "12Go Link")</f>
        <v>12Go Link</v>
      </c>
      <c r="E2705" s="2" t="s">
        <v>77</v>
      </c>
    </row>
    <row r="2706">
      <c r="A2706" s="2" t="s">
        <v>3020</v>
      </c>
      <c r="B2706" s="2" t="s">
        <v>2604</v>
      </c>
      <c r="C2706" s="2" t="s">
        <v>3023</v>
      </c>
      <c r="D2706" s="3" t="str">
        <f>HYPERLINK("https://12go.asia/en/travel/kalaburagi/chennai", "12Go Link")</f>
        <v>12Go Link</v>
      </c>
      <c r="E2706" s="2" t="s">
        <v>77</v>
      </c>
    </row>
    <row r="2707">
      <c r="A2707" s="2" t="s">
        <v>3020</v>
      </c>
      <c r="B2707" s="2" t="s">
        <v>2847</v>
      </c>
      <c r="C2707" s="2" t="s">
        <v>3024</v>
      </c>
      <c r="D2707" s="3" t="str">
        <f>HYPERLINK("https://12go.asia/en/travel/kalaburagi/gujarat", "12Go Link")</f>
        <v>12Go Link</v>
      </c>
      <c r="E2707" s="2" t="s">
        <v>77</v>
      </c>
    </row>
    <row r="2708">
      <c r="A2708" s="2" t="s">
        <v>2686</v>
      </c>
      <c r="B2708" s="2" t="s">
        <v>3025</v>
      </c>
      <c r="C2708" s="2" t="s">
        <v>3026</v>
      </c>
      <c r="D2708" s="3" t="str">
        <f>HYPERLINK("https://12go.asia/en/travel/kalyan-jn/basti", "12Go Link")</f>
        <v>12Go Link</v>
      </c>
      <c r="E2708" s="2" t="s">
        <v>77</v>
      </c>
    </row>
    <row r="2709">
      <c r="A2709" s="2" t="s">
        <v>2686</v>
      </c>
      <c r="B2709" s="2" t="s">
        <v>3025</v>
      </c>
      <c r="C2709" s="2" t="s">
        <v>3027</v>
      </c>
      <c r="D2709" s="3" t="str">
        <f>HYPERLINK("https://12go.asia/en/travel/kalyan/basti", "12Go Link")</f>
        <v>12Go Link</v>
      </c>
      <c r="E2709" s="2" t="s">
        <v>77</v>
      </c>
    </row>
    <row r="2710">
      <c r="A2710" s="2" t="s">
        <v>2686</v>
      </c>
      <c r="B2710" s="2" t="s">
        <v>2623</v>
      </c>
      <c r="C2710" s="2" t="s">
        <v>3028</v>
      </c>
      <c r="D2710" s="3" t="str">
        <f>HYPERLINK("https://12go.asia/en/travel/kalyan-jn/karwar", "12Go Link")</f>
        <v>12Go Link</v>
      </c>
      <c r="E2710" s="2" t="s">
        <v>77</v>
      </c>
    </row>
    <row r="2711">
      <c r="A2711" s="2" t="s">
        <v>2686</v>
      </c>
      <c r="B2711" s="2" t="s">
        <v>2623</v>
      </c>
      <c r="C2711" s="2" t="s">
        <v>3029</v>
      </c>
      <c r="D2711" s="3" t="str">
        <f>HYPERLINK("https://12go.asia/en/travel/kalyan/karwar", "12Go Link")</f>
        <v>12Go Link</v>
      </c>
      <c r="E2711" s="2" t="s">
        <v>77</v>
      </c>
    </row>
    <row r="2712">
      <c r="A2712" s="2" t="s">
        <v>2686</v>
      </c>
      <c r="B2712" s="2" t="s">
        <v>3030</v>
      </c>
      <c r="C2712" s="2" t="s">
        <v>3031</v>
      </c>
      <c r="D2712" s="3" t="str">
        <f>HYPERLINK("https://12go.asia/en/travel/kalyan-jn/nagda-junction", "12Go Link")</f>
        <v>12Go Link</v>
      </c>
      <c r="E2712" s="2" t="s">
        <v>77</v>
      </c>
    </row>
    <row r="2713">
      <c r="A2713" s="2" t="s">
        <v>2686</v>
      </c>
      <c r="B2713" s="2" t="s">
        <v>3030</v>
      </c>
      <c r="C2713" s="2" t="s">
        <v>3032</v>
      </c>
      <c r="D2713" s="3" t="str">
        <f>HYPERLINK("https://12go.asia/en/travel/kalyan/nagda", "12Go Link")</f>
        <v>12Go Link</v>
      </c>
      <c r="E2713" s="2" t="s">
        <v>77</v>
      </c>
    </row>
    <row r="2714">
      <c r="A2714" s="2" t="s">
        <v>2686</v>
      </c>
      <c r="B2714" s="2" t="s">
        <v>3033</v>
      </c>
      <c r="C2714" s="2" t="s">
        <v>3034</v>
      </c>
      <c r="D2714" s="3" t="str">
        <f>HYPERLINK("https://12go.asia/en/travel/kalyan-jn/navsari", "12Go Link")</f>
        <v>12Go Link</v>
      </c>
      <c r="E2714" s="2" t="s">
        <v>77</v>
      </c>
    </row>
    <row r="2715">
      <c r="A2715" s="2" t="s">
        <v>2686</v>
      </c>
      <c r="B2715" s="2" t="s">
        <v>3033</v>
      </c>
      <c r="C2715" s="2" t="s">
        <v>3035</v>
      </c>
      <c r="D2715" s="3" t="str">
        <f>HYPERLINK("https://12go.asia/en/travel/kalyan/navsari", "12Go Link")</f>
        <v>12Go Link</v>
      </c>
      <c r="E2715" s="2" t="s">
        <v>77</v>
      </c>
    </row>
    <row r="2716">
      <c r="A2716" s="2" t="s">
        <v>2686</v>
      </c>
      <c r="B2716" s="2" t="s">
        <v>3036</v>
      </c>
      <c r="C2716" s="2" t="s">
        <v>3037</v>
      </c>
      <c r="D2716" s="3" t="str">
        <f>HYPERLINK("https://12go.asia/en/travel/kalyan-jn/pachora-junction", "12Go Link")</f>
        <v>12Go Link</v>
      </c>
      <c r="E2716" s="2" t="s">
        <v>77</v>
      </c>
    </row>
    <row r="2717">
      <c r="A2717" s="2" t="s">
        <v>2686</v>
      </c>
      <c r="B2717" s="2" t="s">
        <v>3036</v>
      </c>
      <c r="C2717" s="2" t="s">
        <v>3038</v>
      </c>
      <c r="D2717" s="3" t="str">
        <f>HYPERLINK("https://12go.asia/en/travel/kalyan/pachora", "12Go Link")</f>
        <v>12Go Link</v>
      </c>
      <c r="E2717" s="2" t="s">
        <v>77</v>
      </c>
    </row>
    <row r="2718">
      <c r="A2718" s="2" t="s">
        <v>2527</v>
      </c>
      <c r="B2718" s="2" t="s">
        <v>2453</v>
      </c>
      <c r="C2718" s="2" t="s">
        <v>3039</v>
      </c>
      <c r="D2718" s="3" t="str">
        <f>HYPERLINK("https://12go.asia/en/travel/kanhangad/margao", "12Go Link")</f>
        <v>12Go Link</v>
      </c>
      <c r="E2718" s="2" t="s">
        <v>77</v>
      </c>
    </row>
    <row r="2719">
      <c r="A2719" s="2" t="s">
        <v>2878</v>
      </c>
      <c r="B2719" s="2" t="s">
        <v>2622</v>
      </c>
      <c r="C2719" s="2" t="s">
        <v>3040</v>
      </c>
      <c r="D2719" s="3" t="str">
        <f>HYPERLINK("https://12go.asia/en/travel/kankanadi/canacona-goa", "12Go Link")</f>
        <v>12Go Link</v>
      </c>
      <c r="E2719" s="2" t="s">
        <v>77</v>
      </c>
    </row>
    <row r="2720">
      <c r="A2720" s="2" t="s">
        <v>2878</v>
      </c>
      <c r="B2720" s="2" t="s">
        <v>2877</v>
      </c>
      <c r="C2720" s="2" t="s">
        <v>3041</v>
      </c>
      <c r="D2720" s="3" t="str">
        <f>HYPERLINK("https://12go.asia/en/travel/kankanadi/honavar", "12Go Link")</f>
        <v>12Go Link</v>
      </c>
      <c r="E2720" s="2" t="s">
        <v>77</v>
      </c>
    </row>
    <row r="2721">
      <c r="A2721" s="2" t="s">
        <v>2878</v>
      </c>
      <c r="B2721" s="2" t="s">
        <v>2315</v>
      </c>
      <c r="C2721" s="2" t="s">
        <v>3042</v>
      </c>
      <c r="D2721" s="3" t="str">
        <f>HYPERLINK("https://12go.asia/en/travel/kankanadi/jhansi", "12Go Link")</f>
        <v>12Go Link</v>
      </c>
      <c r="E2721" s="2" t="s">
        <v>77</v>
      </c>
    </row>
    <row r="2722">
      <c r="A2722" s="2" t="s">
        <v>2878</v>
      </c>
      <c r="B2722" s="2" t="s">
        <v>3043</v>
      </c>
      <c r="C2722" s="2" t="s">
        <v>3044</v>
      </c>
      <c r="D2722" s="3" t="str">
        <f>HYPERLINK("https://12go.asia/en/travel/kankanadi/kumta", "12Go Link")</f>
        <v>12Go Link</v>
      </c>
      <c r="E2722" s="2" t="s">
        <v>77</v>
      </c>
    </row>
    <row r="2723">
      <c r="A2723" s="2" t="s">
        <v>2878</v>
      </c>
      <c r="B2723" s="2" t="s">
        <v>3045</v>
      </c>
      <c r="C2723" s="2" t="s">
        <v>3046</v>
      </c>
      <c r="D2723" s="3" t="str">
        <f>HYPERLINK("https://12go.asia/en/travel/kankanadi/ratnagiri", "12Go Link")</f>
        <v>12Go Link</v>
      </c>
      <c r="E2723" s="2" t="s">
        <v>77</v>
      </c>
    </row>
    <row r="2724">
      <c r="A2724" s="2" t="s">
        <v>2530</v>
      </c>
      <c r="B2724" s="2" t="s">
        <v>2430</v>
      </c>
      <c r="C2724" s="2" t="s">
        <v>3047</v>
      </c>
      <c r="D2724" s="3" t="str">
        <f>HYPERLINK("https://12go.asia/en/travel/kannur/anjuna", "12Go Link")</f>
        <v>12Go Link</v>
      </c>
      <c r="E2724" s="2" t="s">
        <v>77</v>
      </c>
    </row>
    <row r="2725">
      <c r="A2725" s="2" t="s">
        <v>2530</v>
      </c>
      <c r="B2725" s="2" t="s">
        <v>2365</v>
      </c>
      <c r="C2725" s="2" t="s">
        <v>3048</v>
      </c>
      <c r="D2725" s="3" t="str">
        <f>HYPERLINK("https://12go.asia/en/travel/kannur/old-goa", "12Go Link")</f>
        <v>12Go Link</v>
      </c>
      <c r="E2725" s="2" t="s">
        <v>77</v>
      </c>
    </row>
    <row r="2726">
      <c r="A2726" s="2" t="s">
        <v>2793</v>
      </c>
      <c r="B2726" s="2" t="s">
        <v>3049</v>
      </c>
      <c r="C2726" s="2" t="s">
        <v>3050</v>
      </c>
      <c r="D2726" s="3" t="str">
        <f>HYPERLINK("https://12go.asia/en/travel/kanpur-central/amethi", "12Go Link")</f>
        <v>12Go Link</v>
      </c>
      <c r="E2726" s="2" t="s">
        <v>77</v>
      </c>
    </row>
    <row r="2727">
      <c r="A2727" s="2" t="s">
        <v>2793</v>
      </c>
      <c r="B2727" s="2" t="s">
        <v>3049</v>
      </c>
      <c r="C2727" s="2" t="s">
        <v>3051</v>
      </c>
      <c r="D2727" s="3" t="str">
        <f>HYPERLINK("https://12go.asia/en/travel/kanpur/amethi", "12Go Link")</f>
        <v>12Go Link</v>
      </c>
      <c r="E2727" s="2" t="s">
        <v>77</v>
      </c>
    </row>
    <row r="2728">
      <c r="A2728" s="2" t="s">
        <v>2793</v>
      </c>
      <c r="B2728" s="2" t="s">
        <v>2776</v>
      </c>
      <c r="C2728" s="2" t="s">
        <v>3052</v>
      </c>
      <c r="D2728" s="3" t="str">
        <f>HYPERLINK("https://12go.asia/en/travel/kanpur-central/durg", "12Go Link")</f>
        <v>12Go Link</v>
      </c>
      <c r="E2728" s="2" t="s">
        <v>77</v>
      </c>
    </row>
    <row r="2729">
      <c r="A2729" s="2" t="s">
        <v>2793</v>
      </c>
      <c r="B2729" s="2" t="s">
        <v>2776</v>
      </c>
      <c r="C2729" s="2" t="s">
        <v>3053</v>
      </c>
      <c r="D2729" s="3" t="str">
        <f>HYPERLINK("https://12go.asia/en/travel/kanpur/durg", "12Go Link")</f>
        <v>12Go Link</v>
      </c>
      <c r="E2729" s="2" t="s">
        <v>77</v>
      </c>
    </row>
    <row r="2730">
      <c r="A2730" s="2" t="s">
        <v>2532</v>
      </c>
      <c r="B2730" s="2" t="s">
        <v>3054</v>
      </c>
      <c r="C2730" s="2" t="s">
        <v>3055</v>
      </c>
      <c r="D2730" s="3" t="str">
        <f>HYPERLINK("https://12go.asia/en/travel/kanyakumari/pune", "12Go Link")</f>
        <v>12Go Link</v>
      </c>
      <c r="E2730" s="2" t="s">
        <v>77</v>
      </c>
    </row>
    <row r="2731">
      <c r="A2731" s="2" t="s">
        <v>2532</v>
      </c>
      <c r="B2731" s="2" t="s">
        <v>2827</v>
      </c>
      <c r="C2731" s="2" t="s">
        <v>3056</v>
      </c>
      <c r="D2731" s="3" t="str">
        <f>HYPERLINK("https://12go.asia/en/travel/kanyakumari/secunderabad", "12Go Link")</f>
        <v>12Go Link</v>
      </c>
      <c r="E2731" s="2" t="s">
        <v>25</v>
      </c>
    </row>
    <row r="2732">
      <c r="A2732" s="2" t="s">
        <v>2532</v>
      </c>
      <c r="B2732" s="2" t="s">
        <v>2641</v>
      </c>
      <c r="C2732" s="2" t="s">
        <v>3057</v>
      </c>
      <c r="D2732" s="3" t="str">
        <f>HYPERLINK("https://12go.asia/en/travel/kanyakumari/telangana", "12Go Link")</f>
        <v>12Go Link</v>
      </c>
      <c r="E2732" s="2" t="s">
        <v>25</v>
      </c>
    </row>
    <row r="2733">
      <c r="A2733" s="2" t="s">
        <v>3058</v>
      </c>
      <c r="B2733" s="2" t="s">
        <v>2279</v>
      </c>
      <c r="C2733" s="2" t="s">
        <v>3059</v>
      </c>
      <c r="D2733" s="3" t="str">
        <f>HYPERLINK("https://12go.asia/en/travel/karnal/vrindavan", "12Go Link")</f>
        <v>12Go Link</v>
      </c>
      <c r="E2733" s="2" t="s">
        <v>77</v>
      </c>
    </row>
    <row r="2734">
      <c r="A2734" s="2" t="s">
        <v>2700</v>
      </c>
      <c r="B2734" s="2" t="s">
        <v>2436</v>
      </c>
      <c r="C2734" s="2" t="s">
        <v>3060</v>
      </c>
      <c r="D2734" s="3" t="str">
        <f>HYPERLINK("https://12go.asia/en/travel/karnataka/arakkonam", "12Go Link")</f>
        <v>12Go Link</v>
      </c>
      <c r="E2734" s="2" t="s">
        <v>77</v>
      </c>
    </row>
    <row r="2735">
      <c r="A2735" s="2" t="s">
        <v>2700</v>
      </c>
      <c r="B2735" s="2" t="s">
        <v>2517</v>
      </c>
      <c r="C2735" s="2" t="s">
        <v>3061</v>
      </c>
      <c r="D2735" s="3" t="str">
        <f>HYPERLINK("https://12go.asia/en/travel/karnataka/bantwal", "12Go Link")</f>
        <v>12Go Link</v>
      </c>
      <c r="E2735" s="2" t="s">
        <v>77</v>
      </c>
    </row>
    <row r="2736">
      <c r="A2736" s="2" t="s">
        <v>2700</v>
      </c>
      <c r="B2736" s="2" t="s">
        <v>2643</v>
      </c>
      <c r="C2736" s="2" t="s">
        <v>3062</v>
      </c>
      <c r="D2736" s="3" t="str">
        <f>HYPERLINK("https://12go.asia/en/travel/karnataka/chandrapur", "12Go Link")</f>
        <v>12Go Link</v>
      </c>
      <c r="E2736" s="2" t="s">
        <v>77</v>
      </c>
    </row>
    <row r="2737">
      <c r="A2737" s="2" t="s">
        <v>2700</v>
      </c>
      <c r="B2737" s="2" t="s">
        <v>2521</v>
      </c>
      <c r="C2737" s="2" t="s">
        <v>3063</v>
      </c>
      <c r="D2737" s="3" t="str">
        <f>HYPERLINK("https://12go.asia/en/travel/karnataka/cuddalore", "12Go Link")</f>
        <v>12Go Link</v>
      </c>
      <c r="E2737" s="2" t="s">
        <v>77</v>
      </c>
    </row>
    <row r="2738">
      <c r="A2738" s="2" t="s">
        <v>2700</v>
      </c>
      <c r="B2738" s="2" t="s">
        <v>2754</v>
      </c>
      <c r="C2738" s="2" t="s">
        <v>3064</v>
      </c>
      <c r="D2738" s="3" t="str">
        <f>HYPERLINK("https://12go.asia/en/travel/karnataka/dharmapuri-tamil-nadu", "12Go Link")</f>
        <v>12Go Link</v>
      </c>
      <c r="E2738" s="2" t="s">
        <v>77</v>
      </c>
    </row>
    <row r="2739">
      <c r="A2739" s="2" t="s">
        <v>2700</v>
      </c>
      <c r="B2739" s="2" t="s">
        <v>2776</v>
      </c>
      <c r="C2739" s="2" t="s">
        <v>3065</v>
      </c>
      <c r="D2739" s="3" t="str">
        <f>HYPERLINK("https://12go.asia/en/travel/karnataka/durg", "12Go Link")</f>
        <v>12Go Link</v>
      </c>
      <c r="E2739" s="2" t="s">
        <v>77</v>
      </c>
    </row>
    <row r="2740">
      <c r="A2740" s="2" t="s">
        <v>2700</v>
      </c>
      <c r="B2740" s="2" t="s">
        <v>3066</v>
      </c>
      <c r="C2740" s="2" t="s">
        <v>3067</v>
      </c>
      <c r="D2740" s="3" t="str">
        <f>HYPERLINK("https://12go.asia/en/travel/karnataka/gadag", "12Go Link")</f>
        <v>12Go Link</v>
      </c>
      <c r="E2740" s="2" t="s">
        <v>77</v>
      </c>
    </row>
    <row r="2741">
      <c r="A2741" s="2" t="s">
        <v>2700</v>
      </c>
      <c r="B2741" s="2" t="s">
        <v>3068</v>
      </c>
      <c r="C2741" s="2" t="s">
        <v>3069</v>
      </c>
      <c r="D2741" s="3" t="str">
        <f>HYPERLINK("https://12go.asia/en/travel/karnataka/gauribidanur", "12Go Link")</f>
        <v>12Go Link</v>
      </c>
      <c r="E2741" s="2" t="s">
        <v>77</v>
      </c>
    </row>
    <row r="2742">
      <c r="A2742" s="2" t="s">
        <v>2700</v>
      </c>
      <c r="B2742" s="2" t="s">
        <v>2523</v>
      </c>
      <c r="C2742" s="2" t="s">
        <v>3070</v>
      </c>
      <c r="D2742" s="3" t="str">
        <f>HYPERLINK("https://12go.asia/en/travel/karnataka/gooty", "12Go Link")</f>
        <v>12Go Link</v>
      </c>
      <c r="E2742" s="2" t="s">
        <v>77</v>
      </c>
    </row>
    <row r="2743">
      <c r="A2743" s="2" t="s">
        <v>2700</v>
      </c>
      <c r="B2743" s="2" t="s">
        <v>2830</v>
      </c>
      <c r="C2743" s="2" t="s">
        <v>3071</v>
      </c>
      <c r="D2743" s="3" t="str">
        <f>HYPERLINK("https://12go.asia/en/travel/karnataka/gorakhpur", "12Go Link")</f>
        <v>12Go Link</v>
      </c>
      <c r="E2743" s="2" t="s">
        <v>77</v>
      </c>
    </row>
    <row r="2744">
      <c r="A2744" s="2" t="s">
        <v>2700</v>
      </c>
      <c r="B2744" s="2" t="s">
        <v>2525</v>
      </c>
      <c r="C2744" s="2" t="s">
        <v>3072</v>
      </c>
      <c r="D2744" s="3" t="str">
        <f>HYPERLINK("https://12go.asia/en/travel/karnataka/harihar", "12Go Link")</f>
        <v>12Go Link</v>
      </c>
      <c r="E2744" s="2" t="s">
        <v>77</v>
      </c>
    </row>
    <row r="2745">
      <c r="A2745" s="2" t="s">
        <v>2700</v>
      </c>
      <c r="B2745" s="2" t="s">
        <v>2416</v>
      </c>
      <c r="C2745" s="2" t="s">
        <v>3073</v>
      </c>
      <c r="D2745" s="3" t="str">
        <f>HYPERLINK("https://12go.asia/en/travel/bhalki/hyderabad-decan", "12Go Link")</f>
        <v>12Go Link</v>
      </c>
      <c r="E2745" s="2" t="s">
        <v>77</v>
      </c>
    </row>
    <row r="2746">
      <c r="A2746" s="2" t="s">
        <v>2700</v>
      </c>
      <c r="B2746" s="2" t="s">
        <v>2527</v>
      </c>
      <c r="C2746" s="2" t="s">
        <v>3074</v>
      </c>
      <c r="D2746" s="3" t="str">
        <f>HYPERLINK("https://12go.asia/en/travel/karnataka/kanhangad", "12Go Link")</f>
        <v>12Go Link</v>
      </c>
      <c r="E2746" s="2" t="s">
        <v>77</v>
      </c>
    </row>
    <row r="2747">
      <c r="A2747" s="2" t="s">
        <v>2700</v>
      </c>
      <c r="B2747" s="2" t="s">
        <v>3075</v>
      </c>
      <c r="C2747" s="2" t="s">
        <v>3076</v>
      </c>
      <c r="D2747" s="3" t="str">
        <f>HYPERLINK("https://12go.asia/en/travel/karnataka/kuttippuram", "12Go Link")</f>
        <v>12Go Link</v>
      </c>
      <c r="E2747" s="2" t="s">
        <v>77</v>
      </c>
    </row>
    <row r="2748">
      <c r="A2748" s="2" t="s">
        <v>2700</v>
      </c>
      <c r="B2748" s="2" t="s">
        <v>2539</v>
      </c>
      <c r="C2748" s="2" t="s">
        <v>3077</v>
      </c>
      <c r="D2748" s="3" t="str">
        <f>HYPERLINK("https://12go.asia/en/travel/karnataka/nanded", "12Go Link")</f>
        <v>12Go Link</v>
      </c>
      <c r="E2748" s="2" t="s">
        <v>77</v>
      </c>
    </row>
    <row r="2749">
      <c r="A2749" s="2" t="s">
        <v>2700</v>
      </c>
      <c r="B2749" s="2" t="s">
        <v>2541</v>
      </c>
      <c r="C2749" s="2" t="s">
        <v>3078</v>
      </c>
      <c r="D2749" s="3" t="str">
        <f>HYPERLINK("https://12go.asia/en/travel/karnataka/nizamabad", "12Go Link")</f>
        <v>12Go Link</v>
      </c>
      <c r="E2749" s="2" t="s">
        <v>77</v>
      </c>
    </row>
    <row r="2750">
      <c r="A2750" s="2" t="s">
        <v>2700</v>
      </c>
      <c r="B2750" s="2" t="s">
        <v>2441</v>
      </c>
      <c r="C2750" s="2" t="s">
        <v>3079</v>
      </c>
      <c r="D2750" s="3" t="str">
        <f>HYPERLINK("https://12go.asia/en/travel/karnataka/podanur", "12Go Link")</f>
        <v>12Go Link</v>
      </c>
      <c r="E2750" s="2" t="s">
        <v>77</v>
      </c>
    </row>
    <row r="2751">
      <c r="A2751" s="2" t="s">
        <v>2700</v>
      </c>
      <c r="B2751" s="2" t="s">
        <v>2543</v>
      </c>
      <c r="C2751" s="2" t="s">
        <v>3080</v>
      </c>
      <c r="D2751" s="3" t="str">
        <f>HYPERLINK("https://12go.asia/en/travel/karnataka/samalkot", "12Go Link")</f>
        <v>12Go Link</v>
      </c>
      <c r="E2751" s="2" t="s">
        <v>77</v>
      </c>
    </row>
    <row r="2752">
      <c r="A2752" s="2" t="s">
        <v>2534</v>
      </c>
      <c r="B2752" s="2" t="s">
        <v>2447</v>
      </c>
      <c r="C2752" s="2" t="s">
        <v>3081</v>
      </c>
      <c r="D2752" s="3" t="str">
        <f>HYPERLINK("https://12go.asia/en/travel/karur/tambaram", "12Go Link")</f>
        <v>12Go Link</v>
      </c>
      <c r="E2752" s="2" t="s">
        <v>77</v>
      </c>
    </row>
    <row r="2753">
      <c r="A2753" s="2" t="s">
        <v>2623</v>
      </c>
      <c r="B2753" s="2" t="s">
        <v>2355</v>
      </c>
      <c r="C2753" s="2" t="s">
        <v>3082</v>
      </c>
      <c r="D2753" s="3" t="str">
        <f>HYPERLINK("https://12go.asia/en/travel/karwar/alappuzha", "12Go Link")</f>
        <v>12Go Link</v>
      </c>
      <c r="E2753" s="2" t="s">
        <v>77</v>
      </c>
    </row>
    <row r="2754">
      <c r="A2754" s="2" t="s">
        <v>2623</v>
      </c>
      <c r="B2754" s="2" t="s">
        <v>2622</v>
      </c>
      <c r="C2754" s="2" t="s">
        <v>3083</v>
      </c>
      <c r="D2754" s="3" t="str">
        <f>HYPERLINK("https://12go.asia/en/travel/karwar/canacona-goa", "12Go Link")</f>
        <v>12Go Link</v>
      </c>
      <c r="E2754" s="2" t="s">
        <v>77</v>
      </c>
    </row>
    <row r="2755">
      <c r="A2755" s="2" t="s">
        <v>2623</v>
      </c>
      <c r="B2755" s="2" t="s">
        <v>2622</v>
      </c>
      <c r="C2755" s="2" t="s">
        <v>3084</v>
      </c>
      <c r="D2755" s="3" t="str">
        <f>HYPERLINK("https://12go.asia/en/travel/karwar/cancona", "12Go Link")</f>
        <v>12Go Link</v>
      </c>
      <c r="E2755" s="2" t="s">
        <v>77</v>
      </c>
    </row>
    <row r="2756">
      <c r="A2756" s="2" t="s">
        <v>2623</v>
      </c>
      <c r="B2756" s="2" t="s">
        <v>2686</v>
      </c>
      <c r="C2756" s="2" t="s">
        <v>3085</v>
      </c>
      <c r="D2756" s="3" t="str">
        <f>HYPERLINK("https://12go.asia/en/travel/karwar/kalyan", "12Go Link")</f>
        <v>12Go Link</v>
      </c>
      <c r="E2756" s="2" t="s">
        <v>77</v>
      </c>
    </row>
    <row r="2757">
      <c r="A2757" s="2" t="s">
        <v>2623</v>
      </c>
      <c r="B2757" s="2" t="s">
        <v>2686</v>
      </c>
      <c r="C2757" s="2" t="s">
        <v>3086</v>
      </c>
      <c r="D2757" s="3" t="str">
        <f>HYPERLINK("https://12go.asia/en/travel/karwar/kalyan-jn", "12Go Link")</f>
        <v>12Go Link</v>
      </c>
      <c r="E2757" s="2" t="s">
        <v>77</v>
      </c>
    </row>
    <row r="2758">
      <c r="A2758" s="2" t="s">
        <v>3087</v>
      </c>
      <c r="B2758" s="2" t="s">
        <v>2686</v>
      </c>
      <c r="C2758" s="2" t="s">
        <v>3088</v>
      </c>
      <c r="D2758" s="3" t="str">
        <f>HYPERLINK("https://12go.asia/en/travel/kasara/kalyan", "12Go Link")</f>
        <v>12Go Link</v>
      </c>
      <c r="E2758" s="2" t="s">
        <v>77</v>
      </c>
    </row>
    <row r="2759">
      <c r="A2759" s="2" t="s">
        <v>3087</v>
      </c>
      <c r="B2759" s="2" t="s">
        <v>2686</v>
      </c>
      <c r="C2759" s="2" t="s">
        <v>3089</v>
      </c>
      <c r="D2759" s="3" t="str">
        <f>HYPERLINK("https://12go.asia/en/travel/kasara/kalyan-jn", "12Go Link")</f>
        <v>12Go Link</v>
      </c>
      <c r="E2759" s="2" t="s">
        <v>77</v>
      </c>
    </row>
    <row r="2760">
      <c r="A2760" s="2" t="s">
        <v>2361</v>
      </c>
      <c r="B2760" s="2" t="s">
        <v>2878</v>
      </c>
      <c r="C2760" s="2" t="s">
        <v>3090</v>
      </c>
      <c r="D2760" s="3" t="str">
        <f>HYPERLINK("https://12go.asia/en/travel/kasaragod/kankanadi", "12Go Link")</f>
        <v>12Go Link</v>
      </c>
      <c r="E2760" s="2" t="s">
        <v>77</v>
      </c>
    </row>
    <row r="2761">
      <c r="A2761" s="2" t="s">
        <v>2361</v>
      </c>
      <c r="B2761" s="2" t="s">
        <v>2668</v>
      </c>
      <c r="C2761" s="2" t="s">
        <v>3091</v>
      </c>
      <c r="D2761" s="3" t="str">
        <f>HYPERLINK("https://12go.asia/en/travel/kasaragod/mumbai", "12Go Link")</f>
        <v>12Go Link</v>
      </c>
      <c r="E2761" s="2" t="s">
        <v>77</v>
      </c>
    </row>
    <row r="2762">
      <c r="A2762" s="2" t="s">
        <v>2361</v>
      </c>
      <c r="B2762" s="2" t="s">
        <v>2408</v>
      </c>
      <c r="C2762" s="2" t="s">
        <v>3092</v>
      </c>
      <c r="D2762" s="3" t="str">
        <f>HYPERLINK("https://12go.asia/en/travel/kasaragod/new-delhi", "12Go Link")</f>
        <v>12Go Link</v>
      </c>
      <c r="E2762" s="2" t="s">
        <v>77</v>
      </c>
    </row>
    <row r="2763">
      <c r="A2763" s="2" t="s">
        <v>2361</v>
      </c>
      <c r="B2763" s="2" t="s">
        <v>2689</v>
      </c>
      <c r="C2763" s="2" t="s">
        <v>3093</v>
      </c>
      <c r="D2763" s="3" t="str">
        <f>HYPERLINK("https://12go.asia/en/travel/kasaragod/panvel", "12Go Link")</f>
        <v>12Go Link</v>
      </c>
      <c r="E2763" s="2" t="s">
        <v>77</v>
      </c>
    </row>
    <row r="2764">
      <c r="A2764" s="2" t="s">
        <v>2465</v>
      </c>
      <c r="B2764" s="2" t="s">
        <v>3000</v>
      </c>
      <c r="C2764" s="2" t="s">
        <v>3094</v>
      </c>
      <c r="D2764" s="3" t="str">
        <f>HYPERLINK("https://12go.asia/en/travel/kathgodam/jodhpur-jn", "12Go Link")</f>
        <v>12Go Link</v>
      </c>
      <c r="E2764" s="2" t="s">
        <v>77</v>
      </c>
    </row>
    <row r="2765">
      <c r="A2765" s="2" t="s">
        <v>2465</v>
      </c>
      <c r="B2765" s="2" t="s">
        <v>3000</v>
      </c>
      <c r="C2765" s="2" t="s">
        <v>3095</v>
      </c>
      <c r="D2765" s="3" t="str">
        <f>HYPERLINK("https://12go.asia/en/travel/kathgodam/jodhpur", "12Go Link")</f>
        <v>12Go Link</v>
      </c>
      <c r="E2765" s="2" t="s">
        <v>77</v>
      </c>
    </row>
    <row r="2766">
      <c r="A2766" s="2" t="s">
        <v>2465</v>
      </c>
      <c r="B2766" s="2" t="s">
        <v>3096</v>
      </c>
      <c r="C2766" s="2" t="s">
        <v>3097</v>
      </c>
      <c r="D2766" s="3" t="str">
        <f>HYPERLINK("https://12go.asia/en/travel/kathgodam/kolkata", "12Go Link")</f>
        <v>12Go Link</v>
      </c>
      <c r="E2766" s="2" t="s">
        <v>77</v>
      </c>
    </row>
    <row r="2767">
      <c r="A2767" s="2" t="s">
        <v>2886</v>
      </c>
      <c r="B2767" s="2" t="s">
        <v>2459</v>
      </c>
      <c r="C2767" s="2" t="s">
        <v>3098</v>
      </c>
      <c r="D2767" s="3" t="str">
        <f>HYPERLINK("https://12go.asia/en/travel/katihar-junction/jaipur", "12Go Link")</f>
        <v>12Go Link</v>
      </c>
      <c r="E2767" s="2" t="s">
        <v>77</v>
      </c>
    </row>
    <row r="2768">
      <c r="A2768" s="2" t="s">
        <v>2886</v>
      </c>
      <c r="B2768" s="2" t="s">
        <v>2459</v>
      </c>
      <c r="C2768" s="2" t="s">
        <v>3099</v>
      </c>
      <c r="D2768" s="3" t="str">
        <f>HYPERLINK("https://12go.asia/en/travel/katihar/jaipur", "12Go Link")</f>
        <v>12Go Link</v>
      </c>
      <c r="E2768" s="2" t="s">
        <v>77</v>
      </c>
    </row>
    <row r="2769">
      <c r="A2769" s="2" t="s">
        <v>2886</v>
      </c>
      <c r="B2769" s="2" t="s">
        <v>2375</v>
      </c>
      <c r="C2769" s="2" t="s">
        <v>3100</v>
      </c>
      <c r="D2769" s="3" t="str">
        <f>HYPERLINK("https://12go.asia/en/travel/katihar/jammu-kashmir", "12Go Link")</f>
        <v>12Go Link</v>
      </c>
      <c r="E2769" s="2" t="s">
        <v>77</v>
      </c>
    </row>
    <row r="2770">
      <c r="A2770" s="2" t="s">
        <v>3101</v>
      </c>
      <c r="B2770" s="2" t="s">
        <v>2703</v>
      </c>
      <c r="C2770" s="2" t="s">
        <v>3102</v>
      </c>
      <c r="D2770" s="3" t="str">
        <f>HYPERLINK("https://12go.asia/en/travel/katpadi/mughalsarai", "12Go Link")</f>
        <v>12Go Link</v>
      </c>
      <c r="E2770" s="2" t="s">
        <v>77</v>
      </c>
    </row>
    <row r="2771">
      <c r="A2771" s="2" t="s">
        <v>3101</v>
      </c>
      <c r="B2771" s="2" t="s">
        <v>2641</v>
      </c>
      <c r="C2771" s="2" t="s">
        <v>3103</v>
      </c>
      <c r="D2771" s="3" t="str">
        <f>HYPERLINK("https://12go.asia/en/travel/katpadi/telangana", "12Go Link")</f>
        <v>12Go Link</v>
      </c>
      <c r="E2771" s="2" t="s">
        <v>77</v>
      </c>
    </row>
    <row r="2772">
      <c r="A2772" s="2" t="s">
        <v>3104</v>
      </c>
      <c r="B2772" s="2" t="s">
        <v>2657</v>
      </c>
      <c r="C2772" s="2" t="s">
        <v>3105</v>
      </c>
      <c r="D2772" s="3" t="str">
        <f>HYPERLINK("https://12go.asia/en/travel/katra-vaishno-devi/gwalior", "12Go Link")</f>
        <v>12Go Link</v>
      </c>
      <c r="E2772" s="2" t="s">
        <v>77</v>
      </c>
    </row>
    <row r="2773">
      <c r="A2773" s="2" t="s">
        <v>3104</v>
      </c>
      <c r="B2773" s="2" t="s">
        <v>2750</v>
      </c>
      <c r="C2773" s="2" t="s">
        <v>3106</v>
      </c>
      <c r="D2773" s="3" t="str">
        <f>HYPERLINK("https://12go.asia/en/travel/katra-vaishno-devi/madhya-pradesh", "12Go Link")</f>
        <v>12Go Link</v>
      </c>
      <c r="E2773" s="2" t="s">
        <v>77</v>
      </c>
    </row>
    <row r="2774">
      <c r="A2774" s="2" t="s">
        <v>3107</v>
      </c>
      <c r="B2774" s="2" t="s">
        <v>2447</v>
      </c>
      <c r="C2774" s="2" t="s">
        <v>3108</v>
      </c>
      <c r="D2774" s="3" t="str">
        <f>HYPERLINK("https://12go.asia/en/travel/kavali/tambaram", "12Go Link")</f>
        <v>12Go Link</v>
      </c>
      <c r="E2774" s="2" t="s">
        <v>77</v>
      </c>
    </row>
    <row r="2775">
      <c r="A2775" s="2" t="s">
        <v>3107</v>
      </c>
      <c r="B2775" s="2" t="s">
        <v>2641</v>
      </c>
      <c r="C2775" s="2" t="s">
        <v>3109</v>
      </c>
      <c r="D2775" s="3" t="str">
        <f>HYPERLINK("https://12go.asia/en/travel/kavali/telangana", "12Go Link")</f>
        <v>12Go Link</v>
      </c>
      <c r="E2775" s="2" t="s">
        <v>77</v>
      </c>
    </row>
    <row r="2776">
      <c r="A2776" s="2" t="s">
        <v>3110</v>
      </c>
      <c r="B2776" s="2" t="s">
        <v>2532</v>
      </c>
      <c r="C2776" s="2" t="s">
        <v>3111</v>
      </c>
      <c r="D2776" s="3" t="str">
        <f>HYPERLINK("https://12go.asia/en/travel/kayamkulam-junction/kanyakumari", "12Go Link")</f>
        <v>12Go Link</v>
      </c>
      <c r="E2776" s="2" t="s">
        <v>77</v>
      </c>
    </row>
    <row r="2777">
      <c r="A2777" s="2" t="s">
        <v>3110</v>
      </c>
      <c r="B2777" s="2" t="s">
        <v>2532</v>
      </c>
      <c r="C2777" s="2" t="s">
        <v>3112</v>
      </c>
      <c r="D2777" s="3" t="str">
        <f>HYPERLINK("https://12go.asia/en/travel/kayamkulam/kanyakumari", "12Go Link")</f>
        <v>12Go Link</v>
      </c>
      <c r="E2777" s="2" t="s">
        <v>77</v>
      </c>
    </row>
    <row r="2778">
      <c r="A2778" s="2" t="s">
        <v>3110</v>
      </c>
      <c r="B2778" s="2" t="s">
        <v>2434</v>
      </c>
      <c r="C2778" s="2" t="s">
        <v>3113</v>
      </c>
      <c r="D2778" s="3" t="str">
        <f>HYPERLINK("https://12go.asia/en/travel/kayamkulam/maharashtra", "12Go Link")</f>
        <v>12Go Link</v>
      </c>
      <c r="E2778" s="2" t="s">
        <v>77</v>
      </c>
    </row>
    <row r="2779">
      <c r="A2779" s="2" t="s">
        <v>3110</v>
      </c>
      <c r="B2779" s="2" t="s">
        <v>2689</v>
      </c>
      <c r="C2779" s="2" t="s">
        <v>3114</v>
      </c>
      <c r="D2779" s="3" t="str">
        <f>HYPERLINK("https://12go.asia/en/travel/kayamkulam-junction/panvel", "12Go Link")</f>
        <v>12Go Link</v>
      </c>
      <c r="E2779" s="2" t="s">
        <v>77</v>
      </c>
    </row>
    <row r="2780">
      <c r="A2780" s="2" t="s">
        <v>3110</v>
      </c>
      <c r="B2780" s="2" t="s">
        <v>2689</v>
      </c>
      <c r="C2780" s="2" t="s">
        <v>3115</v>
      </c>
      <c r="D2780" s="3" t="str">
        <f>HYPERLINK("https://12go.asia/en/travel/kayamkulam/panvel", "12Go Link")</f>
        <v>12Go Link</v>
      </c>
      <c r="E2780" s="2" t="s">
        <v>77</v>
      </c>
    </row>
    <row r="2781">
      <c r="A2781" s="2" t="s">
        <v>3110</v>
      </c>
      <c r="B2781" s="2" t="s">
        <v>3116</v>
      </c>
      <c r="C2781" s="2" t="s">
        <v>3117</v>
      </c>
      <c r="D2781" s="3" t="str">
        <f>HYPERLINK("https://12go.asia/en/travel/kayamkulam-junction/tiruppur", "12Go Link")</f>
        <v>12Go Link</v>
      </c>
      <c r="E2781" s="2" t="s">
        <v>77</v>
      </c>
    </row>
    <row r="2782">
      <c r="A2782" s="2" t="s">
        <v>3110</v>
      </c>
      <c r="B2782" s="2" t="s">
        <v>3116</v>
      </c>
      <c r="C2782" s="2" t="s">
        <v>3118</v>
      </c>
      <c r="D2782" s="3" t="str">
        <f>HYPERLINK("https://12go.asia/en/travel/kayamkulam/tiruppur", "12Go Link")</f>
        <v>12Go Link</v>
      </c>
      <c r="E2782" s="2" t="s">
        <v>25</v>
      </c>
    </row>
    <row r="2783">
      <c r="A2783" s="2" t="s">
        <v>3110</v>
      </c>
      <c r="B2783" s="2" t="s">
        <v>3116</v>
      </c>
      <c r="C2783" s="2" t="s">
        <v>3119</v>
      </c>
      <c r="D2783" s="3" t="str">
        <f>HYPERLINK("https://12go.asia/en/travel/kayamkulam/tirupur", "12Go Link")</f>
        <v>12Go Link</v>
      </c>
      <c r="E2783" s="2" t="s">
        <v>25</v>
      </c>
    </row>
    <row r="2784">
      <c r="A2784" s="2" t="s">
        <v>3110</v>
      </c>
      <c r="B2784" s="2" t="s">
        <v>3116</v>
      </c>
      <c r="C2784" s="2" t="s">
        <v>3118</v>
      </c>
      <c r="D2784" s="3" t="str">
        <f>HYPERLINK("https://12go.asia/en/travel/kayamkulam/tiruppur", "12Go Link")</f>
        <v>12Go Link</v>
      </c>
      <c r="E2784" s="2" t="s">
        <v>77</v>
      </c>
    </row>
    <row r="2785">
      <c r="A2785" s="2" t="s">
        <v>3110</v>
      </c>
      <c r="B2785" s="2" t="s">
        <v>2428</v>
      </c>
      <c r="C2785" s="2" t="s">
        <v>3120</v>
      </c>
      <c r="D2785" s="3" t="str">
        <f>HYPERLINK("https://12go.asia/en/travel/kayamkulam-junction/varkala", "12Go Link")</f>
        <v>12Go Link</v>
      </c>
      <c r="E2785" s="2" t="s">
        <v>77</v>
      </c>
    </row>
    <row r="2786">
      <c r="A2786" s="2" t="s">
        <v>2979</v>
      </c>
      <c r="B2786" s="2" t="s">
        <v>2902</v>
      </c>
      <c r="C2786" s="2" t="s">
        <v>3121</v>
      </c>
      <c r="D2786" s="3" t="str">
        <f>HYPERLINK("https://12go.asia/en/travel/kerala/indore", "12Go Link")</f>
        <v>12Go Link</v>
      </c>
      <c r="E2786" s="2" t="s">
        <v>77</v>
      </c>
    </row>
    <row r="2787">
      <c r="A2787" s="2" t="s">
        <v>2275</v>
      </c>
      <c r="B2787" s="2" t="s">
        <v>2834</v>
      </c>
      <c r="C2787" s="2" t="s">
        <v>3122</v>
      </c>
      <c r="D2787" s="3" t="str">
        <f>HYPERLINK("https://12go.asia/en/travel/khajuraho/naini", "12Go Link")</f>
        <v>12Go Link</v>
      </c>
      <c r="E2787" s="2" t="s">
        <v>77</v>
      </c>
    </row>
    <row r="2788">
      <c r="A2788" s="2" t="s">
        <v>2275</v>
      </c>
      <c r="B2788" s="2" t="s">
        <v>2834</v>
      </c>
      <c r="C2788" s="2" t="s">
        <v>3123</v>
      </c>
      <c r="D2788" s="3" t="str">
        <f>HYPERLINK("https://12go.asia/en/travel/khajuraho/naini-junction", "12Go Link")</f>
        <v>12Go Link</v>
      </c>
      <c r="E2788" s="2" t="s">
        <v>77</v>
      </c>
    </row>
    <row r="2789">
      <c r="A2789" s="2" t="s">
        <v>3124</v>
      </c>
      <c r="B2789" s="2" t="s">
        <v>2289</v>
      </c>
      <c r="C2789" s="2" t="s">
        <v>3125</v>
      </c>
      <c r="D2789" s="3" t="str">
        <f>HYPERLINK("https://12go.asia/en/travel/khammam/delhi", "12Go Link")</f>
        <v>12Go Link</v>
      </c>
      <c r="E2789" s="2" t="s">
        <v>77</v>
      </c>
    </row>
    <row r="2790">
      <c r="A2790" s="2" t="s">
        <v>3124</v>
      </c>
      <c r="B2790" s="2" t="s">
        <v>2447</v>
      </c>
      <c r="C2790" s="2" t="s">
        <v>3126</v>
      </c>
      <c r="D2790" s="3" t="str">
        <f>HYPERLINK("https://12go.asia/en/travel/khammam/tambaram", "12Go Link")</f>
        <v>12Go Link</v>
      </c>
      <c r="E2790" s="2" t="s">
        <v>77</v>
      </c>
    </row>
    <row r="2791">
      <c r="A2791" s="2" t="s">
        <v>3127</v>
      </c>
      <c r="B2791" s="2" t="s">
        <v>2855</v>
      </c>
      <c r="C2791" s="2" t="s">
        <v>3128</v>
      </c>
      <c r="D2791" s="3" t="str">
        <f>HYPERLINK("https://12go.asia/en/travel/khanapur/hampi", "12Go Link")</f>
        <v>12Go Link</v>
      </c>
      <c r="E2791" s="2" t="s">
        <v>77</v>
      </c>
    </row>
    <row r="2792">
      <c r="A2792" s="2" t="s">
        <v>3129</v>
      </c>
      <c r="B2792" s="2" t="s">
        <v>2434</v>
      </c>
      <c r="C2792" s="2" t="s">
        <v>3130</v>
      </c>
      <c r="D2792" s="3" t="str">
        <f>HYPERLINK("https://12go.asia/en/travel/khandwa/maharashtra", "12Go Link")</f>
        <v>12Go Link</v>
      </c>
      <c r="E2792" s="2" t="s">
        <v>77</v>
      </c>
    </row>
    <row r="2793">
      <c r="A2793" s="2" t="s">
        <v>3129</v>
      </c>
      <c r="B2793" s="2" t="s">
        <v>2402</v>
      </c>
      <c r="C2793" s="2" t="s">
        <v>3131</v>
      </c>
      <c r="D2793" s="3" t="str">
        <f>HYPERLINK("https://12go.asia/en/travel/khandwa/manmad", "12Go Link")</f>
        <v>12Go Link</v>
      </c>
      <c r="E2793" s="2" t="s">
        <v>77</v>
      </c>
    </row>
    <row r="2794">
      <c r="A2794" s="2" t="s">
        <v>3129</v>
      </c>
      <c r="B2794" s="2" t="s">
        <v>2402</v>
      </c>
      <c r="C2794" s="2" t="s">
        <v>3132</v>
      </c>
      <c r="D2794" s="3" t="str">
        <f>HYPERLINK("https://12go.asia/en/travel/khandwa/manmad-junction", "12Go Link")</f>
        <v>12Go Link</v>
      </c>
      <c r="E2794" s="2" t="s">
        <v>77</v>
      </c>
    </row>
    <row r="2795">
      <c r="A2795" s="2" t="s">
        <v>2866</v>
      </c>
      <c r="B2795" s="2" t="s">
        <v>2622</v>
      </c>
      <c r="C2795" s="2" t="s">
        <v>3133</v>
      </c>
      <c r="D2795" s="3" t="str">
        <f>HYPERLINK("https://12go.asia/en/travel/ernakulam-town-north/cancona", "12Go Link")</f>
        <v>12Go Link</v>
      </c>
      <c r="E2795" s="2" t="s">
        <v>77</v>
      </c>
    </row>
    <row r="2796">
      <c r="A2796" s="2" t="s">
        <v>2866</v>
      </c>
      <c r="B2796" s="2" t="s">
        <v>3134</v>
      </c>
      <c r="C2796" s="2" t="s">
        <v>3135</v>
      </c>
      <c r="D2796" s="3" t="str">
        <f>HYPERLINK("https://12go.asia/en/travel/ernakulam-town-north/duvvada", "12Go Link")</f>
        <v>12Go Link</v>
      </c>
      <c r="E2796" s="2" t="s">
        <v>77</v>
      </c>
    </row>
    <row r="2797">
      <c r="A2797" s="2" t="s">
        <v>2866</v>
      </c>
      <c r="B2797" s="2" t="s">
        <v>3134</v>
      </c>
      <c r="C2797" s="2" t="s">
        <v>3136</v>
      </c>
      <c r="D2797" s="3" t="str">
        <f>HYPERLINK("https://12go.asia/en/travel/kochi-india/duvvada", "12Go Link")</f>
        <v>12Go Link</v>
      </c>
      <c r="E2797" s="2" t="s">
        <v>77</v>
      </c>
    </row>
    <row r="2798">
      <c r="A2798" s="2" t="s">
        <v>3137</v>
      </c>
      <c r="B2798" s="2" t="s">
        <v>2343</v>
      </c>
      <c r="C2798" s="2" t="s">
        <v>3138</v>
      </c>
      <c r="D2798" s="3" t="str">
        <f>HYPERLINK("https://12go.asia/en/travel/kolhapur/akola-junction", "12Go Link")</f>
        <v>12Go Link</v>
      </c>
      <c r="E2798" s="2" t="s">
        <v>77</v>
      </c>
    </row>
    <row r="2799">
      <c r="A2799" s="2" t="s">
        <v>3137</v>
      </c>
      <c r="B2799" s="2" t="s">
        <v>2343</v>
      </c>
      <c r="C2799" s="2" t="s">
        <v>3139</v>
      </c>
      <c r="D2799" s="3" t="str">
        <f>HYPERLINK("https://12go.asia/en/travel/kolhapur/akola", "12Go Link")</f>
        <v>12Go Link</v>
      </c>
      <c r="E2799" s="2" t="s">
        <v>77</v>
      </c>
    </row>
    <row r="2800">
      <c r="A2800" s="2" t="s">
        <v>3096</v>
      </c>
      <c r="B2800" s="2" t="s">
        <v>2330</v>
      </c>
      <c r="C2800" s="2" t="s">
        <v>3140</v>
      </c>
      <c r="D2800" s="3" t="str">
        <f>HYPERLINK("https://12go.asia/en/travel/santragachi-junction/ahmedabad-jn", "12Go Link")</f>
        <v>12Go Link</v>
      </c>
      <c r="E2800" s="2" t="s">
        <v>77</v>
      </c>
    </row>
    <row r="2801">
      <c r="A2801" s="2" t="s">
        <v>3096</v>
      </c>
      <c r="B2801" s="2" t="s">
        <v>3141</v>
      </c>
      <c r="C2801" s="2" t="s">
        <v>3142</v>
      </c>
      <c r="D2801" s="3" t="str">
        <f>HYPERLINK("https://12go.asia/en/travel/kolkata/amadalavalasa", "12Go Link")</f>
        <v>12Go Link</v>
      </c>
      <c r="E2801" s="2" t="s">
        <v>77</v>
      </c>
    </row>
    <row r="2802">
      <c r="A2802" s="2" t="s">
        <v>3096</v>
      </c>
      <c r="B2802" s="2" t="s">
        <v>2884</v>
      </c>
      <c r="C2802" s="2" t="s">
        <v>3143</v>
      </c>
      <c r="D2802" s="3" t="str">
        <f>HYPERLINK("https://12go.asia/en/travel/kolkata/daltonganj", "12Go Link")</f>
        <v>12Go Link</v>
      </c>
      <c r="E2802" s="2" t="s">
        <v>77</v>
      </c>
    </row>
    <row r="2803">
      <c r="A2803" s="2" t="s">
        <v>3096</v>
      </c>
      <c r="B2803" s="2" t="s">
        <v>2931</v>
      </c>
      <c r="C2803" s="2" t="s">
        <v>3144</v>
      </c>
      <c r="D2803" s="3" t="str">
        <f>HYPERLINK("https://12go.asia/en/travel/kolkata/jalgaon", "12Go Link")</f>
        <v>12Go Link</v>
      </c>
      <c r="E2803" s="2" t="s">
        <v>77</v>
      </c>
    </row>
    <row r="2804">
      <c r="A2804" s="2" t="s">
        <v>3096</v>
      </c>
      <c r="B2804" s="2" t="s">
        <v>2889</v>
      </c>
      <c r="C2804" s="2" t="s">
        <v>3145</v>
      </c>
      <c r="D2804" s="3" t="str">
        <f>HYPERLINK("https://12go.asia/en/travel/kolkata/murarai", "12Go Link")</f>
        <v>12Go Link</v>
      </c>
      <c r="E2804" s="2" t="s">
        <v>77</v>
      </c>
    </row>
    <row r="2805">
      <c r="A2805" s="2" t="s">
        <v>3096</v>
      </c>
      <c r="B2805" s="2" t="s">
        <v>2889</v>
      </c>
      <c r="C2805" s="2" t="s">
        <v>3146</v>
      </c>
      <c r="D2805" s="3" t="str">
        <f>HYPERLINK("https://12go.asia/en/travel/sealdah/murarai", "12Go Link")</f>
        <v>12Go Link</v>
      </c>
      <c r="E2805" s="2" t="s">
        <v>77</v>
      </c>
    </row>
    <row r="2806">
      <c r="A2806" s="2" t="s">
        <v>3096</v>
      </c>
      <c r="B2806" s="2" t="s">
        <v>3147</v>
      </c>
      <c r="C2806" s="2" t="s">
        <v>3148</v>
      </c>
      <c r="D2806" s="3" t="str">
        <f>HYPERLINK("https://12go.asia/en/travel/kolkata/rajkot", "12Go Link")</f>
        <v>12Go Link</v>
      </c>
      <c r="E2806" s="2" t="s">
        <v>77</v>
      </c>
    </row>
    <row r="2807">
      <c r="A2807" s="2" t="s">
        <v>3096</v>
      </c>
      <c r="B2807" s="2" t="s">
        <v>3147</v>
      </c>
      <c r="C2807" s="2" t="s">
        <v>3149</v>
      </c>
      <c r="D2807" s="3" t="str">
        <f>HYPERLINK("https://12go.asia/en/travel/shalimar/rajkot", "12Go Link")</f>
        <v>12Go Link</v>
      </c>
      <c r="E2807" s="2" t="s">
        <v>77</v>
      </c>
    </row>
    <row r="2808">
      <c r="A2808" s="2" t="s">
        <v>3150</v>
      </c>
      <c r="B2808" s="2" t="s">
        <v>2365</v>
      </c>
      <c r="C2808" s="2" t="s">
        <v>3151</v>
      </c>
      <c r="D2808" s="3" t="str">
        <f>HYPERLINK("https://12go.asia/en/travel/kollam/old-goa", "12Go Link")</f>
        <v>12Go Link</v>
      </c>
      <c r="E2808" s="2" t="s">
        <v>77</v>
      </c>
    </row>
    <row r="2809">
      <c r="A2809" s="2" t="s">
        <v>3150</v>
      </c>
      <c r="B2809" s="2" t="s">
        <v>3152</v>
      </c>
      <c r="C2809" s="2" t="s">
        <v>3153</v>
      </c>
      <c r="D2809" s="3" t="str">
        <f>HYPERLINK("https://12go.asia/en/travel/kollam/tenkasi", "12Go Link")</f>
        <v>12Go Link</v>
      </c>
      <c r="E2809" s="2" t="s">
        <v>77</v>
      </c>
    </row>
    <row r="2810">
      <c r="A2810" s="2" t="s">
        <v>3150</v>
      </c>
      <c r="B2810" s="2" t="s">
        <v>3152</v>
      </c>
      <c r="C2810" s="2" t="s">
        <v>3154</v>
      </c>
      <c r="D2810" s="3" t="str">
        <f>HYPERLINK("https://12go.asia/en/travel/kollam/tenkasi-jn", "12Go Link")</f>
        <v>12Go Link</v>
      </c>
      <c r="E2810" s="2" t="s">
        <v>77</v>
      </c>
    </row>
    <row r="2811">
      <c r="A2811" s="2" t="s">
        <v>2612</v>
      </c>
      <c r="B2811" s="2" t="s">
        <v>3155</v>
      </c>
      <c r="C2811" s="2" t="s">
        <v>3156</v>
      </c>
      <c r="D2811" s="3" t="str">
        <f>HYPERLINK("https://12go.asia/en/travel/koraput-junction/simhachalam", "12Go Link")</f>
        <v>12Go Link</v>
      </c>
      <c r="E2811" s="2" t="s">
        <v>77</v>
      </c>
    </row>
    <row r="2812">
      <c r="A2812" s="2" t="s">
        <v>2612</v>
      </c>
      <c r="B2812" s="2" t="s">
        <v>3155</v>
      </c>
      <c r="C2812" s="2" t="s">
        <v>3157</v>
      </c>
      <c r="D2812" s="3" t="str">
        <f>HYPERLINK("https://12go.asia/en/travel/koraput/simhachalam", "12Go Link")</f>
        <v>12Go Link</v>
      </c>
      <c r="E2812" s="2" t="s">
        <v>77</v>
      </c>
    </row>
    <row r="2813">
      <c r="A2813" s="2" t="s">
        <v>3158</v>
      </c>
      <c r="B2813" s="2" t="s">
        <v>2289</v>
      </c>
      <c r="C2813" s="2" t="s">
        <v>3159</v>
      </c>
      <c r="D2813" s="3" t="str">
        <f>HYPERLINK("https://12go.asia/en/travel/kosi-kalan/delhi", "12Go Link")</f>
        <v>12Go Link</v>
      </c>
      <c r="E2813" s="2" t="s">
        <v>77</v>
      </c>
    </row>
    <row r="2814">
      <c r="A2814" s="2" t="s">
        <v>3158</v>
      </c>
      <c r="B2814" s="2" t="s">
        <v>2289</v>
      </c>
      <c r="C2814" s="2" t="s">
        <v>3160</v>
      </c>
      <c r="D2814" s="3" t="str">
        <f>HYPERLINK("https://12go.asia/en/travel/kosi-kalan/hazrat-nizamuddin", "12Go Link")</f>
        <v>12Go Link</v>
      </c>
      <c r="E2814" s="2" t="s">
        <v>77</v>
      </c>
    </row>
    <row r="2815">
      <c r="A2815" s="2" t="s">
        <v>3158</v>
      </c>
      <c r="B2815" s="2" t="s">
        <v>2408</v>
      </c>
      <c r="C2815" s="2" t="s">
        <v>3161</v>
      </c>
      <c r="D2815" s="3" t="str">
        <f>HYPERLINK("https://12go.asia/en/travel/kosi-kalan/new-delhi", "12Go Link")</f>
        <v>12Go Link</v>
      </c>
      <c r="E2815" s="2" t="s">
        <v>77</v>
      </c>
    </row>
    <row r="2816">
      <c r="A2816" s="2" t="s">
        <v>3162</v>
      </c>
      <c r="B2816" s="2" t="s">
        <v>3163</v>
      </c>
      <c r="C2816" s="2" t="s">
        <v>3164</v>
      </c>
      <c r="D2816" s="3" t="str">
        <f>HYPERLINK("https://12go.asia/en/travel/kota/north-goa", "12Go Link")</f>
        <v>12Go Link</v>
      </c>
      <c r="E2816" s="2" t="s">
        <v>77</v>
      </c>
    </row>
    <row r="2817">
      <c r="A2817" s="2" t="s">
        <v>3162</v>
      </c>
      <c r="B2817" s="2" t="s">
        <v>2365</v>
      </c>
      <c r="C2817" s="2" t="s">
        <v>3165</v>
      </c>
      <c r="D2817" s="3" t="str">
        <f>HYPERLINK("https://12go.asia/en/travel/kota/old-goa", "12Go Link")</f>
        <v>12Go Link</v>
      </c>
      <c r="E2817" s="2" t="s">
        <v>77</v>
      </c>
    </row>
    <row r="2818">
      <c r="A2818" s="2" t="s">
        <v>3162</v>
      </c>
      <c r="B2818" s="2" t="s">
        <v>2377</v>
      </c>
      <c r="C2818" s="2" t="s">
        <v>3166</v>
      </c>
      <c r="D2818" s="3" t="str">
        <f>HYPERLINK("https://12go.asia/en/travel/kota-jn/prayagraj-junction", "12Go Link")</f>
        <v>12Go Link</v>
      </c>
      <c r="E2818" s="2" t="s">
        <v>77</v>
      </c>
    </row>
    <row r="2819">
      <c r="A2819" s="2" t="s">
        <v>3162</v>
      </c>
      <c r="B2819" s="2" t="s">
        <v>2377</v>
      </c>
      <c r="C2819" s="2" t="s">
        <v>3167</v>
      </c>
      <c r="D2819" s="3" t="str">
        <f>HYPERLINK("https://12go.asia/en/travel/kota/prayagraj", "12Go Link")</f>
        <v>12Go Link</v>
      </c>
      <c r="E2819" s="2" t="s">
        <v>77</v>
      </c>
    </row>
    <row r="2820">
      <c r="A2820" s="2" t="s">
        <v>3168</v>
      </c>
      <c r="B2820" s="2" t="s">
        <v>2671</v>
      </c>
      <c r="C2820" s="2" t="s">
        <v>3169</v>
      </c>
      <c r="D2820" s="3" t="str">
        <f>HYPERLINK("https://12go.asia/en/travel/kothapatnam/rajahmundry", "12Go Link")</f>
        <v>12Go Link</v>
      </c>
      <c r="E2820" s="2" t="s">
        <v>77</v>
      </c>
    </row>
    <row r="2821">
      <c r="A2821" s="2" t="s">
        <v>2437</v>
      </c>
      <c r="B2821" s="2" t="s">
        <v>3170</v>
      </c>
      <c r="C2821" s="2" t="s">
        <v>3171</v>
      </c>
      <c r="D2821" s="3" t="str">
        <f>HYPERLINK("https://12go.asia/en/travel/kozhikode/sultan-bathery", "12Go Link")</f>
        <v>12Go Link</v>
      </c>
      <c r="E2821" s="2" t="s">
        <v>25</v>
      </c>
    </row>
    <row r="2822">
      <c r="A2822" s="2" t="s">
        <v>3043</v>
      </c>
      <c r="B2822" s="2" t="s">
        <v>2866</v>
      </c>
      <c r="C2822" s="2" t="s">
        <v>3172</v>
      </c>
      <c r="D2822" s="3" t="str">
        <f>HYPERLINK("https://12go.asia/en/travel/kumta/ernakulam-town-north", "12Go Link")</f>
        <v>12Go Link</v>
      </c>
      <c r="E2822" s="2" t="s">
        <v>77</v>
      </c>
    </row>
    <row r="2823">
      <c r="A2823" s="2" t="s">
        <v>3173</v>
      </c>
      <c r="B2823" s="2" t="s">
        <v>2584</v>
      </c>
      <c r="C2823" s="2" t="s">
        <v>3174</v>
      </c>
      <c r="D2823" s="3" t="str">
        <f>HYPERLINK("https://12go.asia/en/travel/kundapura/madgaon", "12Go Link")</f>
        <v>12Go Link</v>
      </c>
      <c r="E2823" s="2" t="s">
        <v>77</v>
      </c>
    </row>
    <row r="2824">
      <c r="A2824" s="2" t="s">
        <v>2318</v>
      </c>
      <c r="B2824" s="2" t="s">
        <v>2363</v>
      </c>
      <c r="C2824" s="2" t="s">
        <v>3175</v>
      </c>
      <c r="D2824" s="3" t="str">
        <f>HYPERLINK("https://12go.asia/en/travel/kurduvadi/navi-mumbai", "12Go Link")</f>
        <v>12Go Link</v>
      </c>
      <c r="E2824" s="2" t="s">
        <v>77</v>
      </c>
    </row>
    <row r="2825">
      <c r="A2825" s="2" t="s">
        <v>2318</v>
      </c>
      <c r="B2825" s="2" t="s">
        <v>2689</v>
      </c>
      <c r="C2825" s="2" t="s">
        <v>3176</v>
      </c>
      <c r="D2825" s="3" t="str">
        <f>HYPERLINK("https://12go.asia/en/travel/kurduvadi/panvel", "12Go Link")</f>
        <v>12Go Link</v>
      </c>
      <c r="E2825" s="2" t="s">
        <v>77</v>
      </c>
    </row>
    <row r="2826">
      <c r="A2826" s="2" t="s">
        <v>3177</v>
      </c>
      <c r="B2826" s="2" t="s">
        <v>74</v>
      </c>
      <c r="C2826" s="2" t="s">
        <v>3178</v>
      </c>
      <c r="D2826" s="3" t="str">
        <f>HYPERLINK("https://12go.asia/en/travel/kurnool-town/broadmeadow", "12Go Link")</f>
        <v>12Go Link</v>
      </c>
      <c r="E2826" s="2" t="s">
        <v>77</v>
      </c>
    </row>
    <row r="2827">
      <c r="A2827" s="2" t="s">
        <v>3177</v>
      </c>
      <c r="B2827" s="2" t="s">
        <v>74</v>
      </c>
      <c r="C2827" s="2" t="s">
        <v>3179</v>
      </c>
      <c r="D2827" s="3" t="str">
        <f>HYPERLINK("https://12go.asia/en/travel/kurnool/newcastle-new-south-wales", "12Go Link")</f>
        <v>12Go Link</v>
      </c>
      <c r="E2827" s="2" t="s">
        <v>77</v>
      </c>
    </row>
    <row r="2828">
      <c r="A2828" s="2" t="s">
        <v>3177</v>
      </c>
      <c r="B2828" s="2" t="s">
        <v>2587</v>
      </c>
      <c r="C2828" s="2" t="s">
        <v>3180</v>
      </c>
      <c r="D2828" s="3" t="str">
        <f>HYPERLINK("https://12go.asia/en/travel/kurnool-town/mysore-jn", "12Go Link")</f>
        <v>12Go Link</v>
      </c>
      <c r="E2828" s="2" t="s">
        <v>77</v>
      </c>
    </row>
    <row r="2829">
      <c r="A2829" s="2" t="s">
        <v>3177</v>
      </c>
      <c r="B2829" s="2" t="s">
        <v>2587</v>
      </c>
      <c r="C2829" s="2" t="s">
        <v>3181</v>
      </c>
      <c r="D2829" s="3" t="str">
        <f t="shared" ref="D2829:D2830" si="288">HYPERLINK("https://12go.asia/en/travel/kurnool/mysore", "12Go Link")</f>
        <v>12Go Link</v>
      </c>
      <c r="E2829" s="2" t="s">
        <v>25</v>
      </c>
    </row>
    <row r="2830">
      <c r="A2830" s="2" t="s">
        <v>3177</v>
      </c>
      <c r="B2830" s="2" t="s">
        <v>2587</v>
      </c>
      <c r="C2830" s="2" t="s">
        <v>3181</v>
      </c>
      <c r="D2830" s="3" t="str">
        <f t="shared" si="288"/>
        <v>12Go Link</v>
      </c>
      <c r="E2830" s="2" t="s">
        <v>77</v>
      </c>
    </row>
    <row r="2831">
      <c r="A2831" s="2" t="s">
        <v>3182</v>
      </c>
      <c r="B2831" s="2" t="s">
        <v>2383</v>
      </c>
      <c r="C2831" s="2" t="s">
        <v>3183</v>
      </c>
      <c r="D2831" s="3" t="str">
        <f>HYPERLINK("https://12go.asia/en/travel/kurukshetra/haryana", "12Go Link")</f>
        <v>12Go Link</v>
      </c>
      <c r="E2831" s="2" t="s">
        <v>77</v>
      </c>
    </row>
    <row r="2832">
      <c r="A2832" s="2" t="s">
        <v>3182</v>
      </c>
      <c r="B2832" s="2" t="s">
        <v>2385</v>
      </c>
      <c r="C2832" s="2" t="s">
        <v>3184</v>
      </c>
      <c r="D2832" s="3" t="str">
        <f>HYPERLINK("https://12go.asia/en/travel/kurukshetra-junction/jammu-tawi", "12Go Link")</f>
        <v>12Go Link</v>
      </c>
      <c r="E2832" s="2" t="s">
        <v>77</v>
      </c>
    </row>
    <row r="2833">
      <c r="A2833" s="2" t="s">
        <v>3182</v>
      </c>
      <c r="B2833" s="2" t="s">
        <v>2385</v>
      </c>
      <c r="C2833" s="2" t="s">
        <v>3185</v>
      </c>
      <c r="D2833" s="3" t="str">
        <f>HYPERLINK("https://12go.asia/en/travel/kurukshetra/jammu", "12Go Link")</f>
        <v>12Go Link</v>
      </c>
      <c r="E2833" s="2" t="s">
        <v>77</v>
      </c>
    </row>
    <row r="2834">
      <c r="A2834" s="2" t="s">
        <v>3182</v>
      </c>
      <c r="B2834" s="2" t="s">
        <v>2277</v>
      </c>
      <c r="C2834" s="2" t="s">
        <v>3186</v>
      </c>
      <c r="D2834" s="3" t="str">
        <f>HYPERLINK("https://12go.asia/en/travel/kurukshetra/sikandra-agra", "12Go Link")</f>
        <v>12Go Link</v>
      </c>
      <c r="E2834" s="2" t="s">
        <v>77</v>
      </c>
    </row>
    <row r="2835">
      <c r="A2835" s="2" t="s">
        <v>2683</v>
      </c>
      <c r="B2835" s="2" t="s">
        <v>2902</v>
      </c>
      <c r="C2835" s="2" t="s">
        <v>3187</v>
      </c>
      <c r="D2835" s="3" t="str">
        <f>HYPERLINK("https://12go.asia/en/travel/lingampalli/indore", "12Go Link")</f>
        <v>12Go Link</v>
      </c>
      <c r="E2835" s="2" t="s">
        <v>77</v>
      </c>
    </row>
    <row r="2836">
      <c r="A2836" s="2" t="s">
        <v>2683</v>
      </c>
      <c r="B2836" s="2" t="s">
        <v>2902</v>
      </c>
      <c r="C2836" s="2" t="s">
        <v>3188</v>
      </c>
      <c r="D2836" s="3" t="str">
        <f>HYPERLINK("https://12go.asia/en/travel/lingampalli/indore-jn-bg", "12Go Link")</f>
        <v>12Go Link</v>
      </c>
      <c r="E2836" s="2" t="s">
        <v>77</v>
      </c>
    </row>
    <row r="2837">
      <c r="A2837" s="2" t="s">
        <v>2683</v>
      </c>
      <c r="B2837" s="2" t="s">
        <v>3189</v>
      </c>
      <c r="C2837" s="2" t="s">
        <v>3190</v>
      </c>
      <c r="D2837" s="3" t="str">
        <f>HYPERLINK("https://12go.asia/en/travel/lingampalli/jangaon", "12Go Link")</f>
        <v>12Go Link</v>
      </c>
      <c r="E2837" s="2" t="s">
        <v>77</v>
      </c>
    </row>
    <row r="2838">
      <c r="A2838" s="2" t="s">
        <v>2683</v>
      </c>
      <c r="B2838" s="2" t="s">
        <v>3020</v>
      </c>
      <c r="C2838" s="2" t="s">
        <v>3191</v>
      </c>
      <c r="D2838" s="3" t="str">
        <f>HYPERLINK("https://12go.asia/en/travel/lingampalli/kalaburagi", "12Go Link")</f>
        <v>12Go Link</v>
      </c>
      <c r="E2838" s="2" t="s">
        <v>77</v>
      </c>
    </row>
    <row r="2839">
      <c r="A2839" s="2" t="s">
        <v>2683</v>
      </c>
      <c r="B2839" s="2" t="s">
        <v>3020</v>
      </c>
      <c r="C2839" s="2" t="s">
        <v>3192</v>
      </c>
      <c r="D2839" s="3" t="str">
        <f>HYPERLINK("https://12go.asia/en/travel/lingampalli/kalaburagi-junction", "12Go Link")</f>
        <v>12Go Link</v>
      </c>
      <c r="E2839" s="2" t="s">
        <v>77</v>
      </c>
    </row>
    <row r="2840">
      <c r="A2840" s="2" t="s">
        <v>2631</v>
      </c>
      <c r="B2840" s="2" t="s">
        <v>2744</v>
      </c>
      <c r="C2840" s="2" t="s">
        <v>3193</v>
      </c>
      <c r="D2840" s="3" t="str">
        <f>HYPERLINK("https://12go.asia/en/travel/loni/lucknow", "12Go Link")</f>
        <v>12Go Link</v>
      </c>
      <c r="E2840" s="2" t="s">
        <v>77</v>
      </c>
    </row>
    <row r="2841">
      <c r="A2841" s="2" t="s">
        <v>2631</v>
      </c>
      <c r="B2841" s="2" t="s">
        <v>2377</v>
      </c>
      <c r="C2841" s="2" t="s">
        <v>3194</v>
      </c>
      <c r="D2841" s="3" t="str">
        <f>HYPERLINK("https://12go.asia/en/travel/loni/prayagraj", "12Go Link")</f>
        <v>12Go Link</v>
      </c>
      <c r="E2841" s="2" t="s">
        <v>77</v>
      </c>
    </row>
    <row r="2842">
      <c r="A2842" s="2" t="s">
        <v>2744</v>
      </c>
      <c r="B2842" s="2" t="s">
        <v>3049</v>
      </c>
      <c r="C2842" s="2" t="s">
        <v>3195</v>
      </c>
      <c r="D2842" s="3" t="str">
        <f>HYPERLINK("https://12go.asia/en/travel/lucknow-nr/amethi", "12Go Link")</f>
        <v>12Go Link</v>
      </c>
      <c r="E2842" s="2" t="s">
        <v>77</v>
      </c>
    </row>
    <row r="2843">
      <c r="A2843" s="2" t="s">
        <v>2744</v>
      </c>
      <c r="B2843" s="2" t="s">
        <v>3049</v>
      </c>
      <c r="C2843" s="2" t="s">
        <v>3196</v>
      </c>
      <c r="D2843" s="3" t="str">
        <f>HYPERLINK("https://12go.asia/en/travel/lucknow/amethi", "12Go Link")</f>
        <v>12Go Link</v>
      </c>
      <c r="E2843" s="2" t="s">
        <v>77</v>
      </c>
    </row>
    <row r="2844">
      <c r="A2844" s="2" t="s">
        <v>2744</v>
      </c>
      <c r="B2844" s="2" t="s">
        <v>2927</v>
      </c>
      <c r="C2844" s="2" t="s">
        <v>3197</v>
      </c>
      <c r="D2844" s="3" t="str">
        <f>HYPERLINK("https://12go.asia/en/travel/lucknow-nr/jalandhar", "12Go Link")</f>
        <v>12Go Link</v>
      </c>
      <c r="E2844" s="2" t="s">
        <v>77</v>
      </c>
    </row>
    <row r="2845">
      <c r="A2845" s="2" t="s">
        <v>2744</v>
      </c>
      <c r="B2845" s="2" t="s">
        <v>2927</v>
      </c>
      <c r="C2845" s="2" t="s">
        <v>3198</v>
      </c>
      <c r="D2845" s="3" t="str">
        <f>HYPERLINK("https://12go.asia/en/travel/lucknow/jalandhar", "12Go Link")</f>
        <v>12Go Link</v>
      </c>
      <c r="E2845" s="2" t="s">
        <v>77</v>
      </c>
    </row>
    <row r="2846">
      <c r="A2846" s="2" t="s">
        <v>2744</v>
      </c>
      <c r="B2846" s="2" t="s">
        <v>3199</v>
      </c>
      <c r="C2846" s="2" t="s">
        <v>3200</v>
      </c>
      <c r="D2846" s="3" t="str">
        <f>HYPERLINK("https://12go.asia/en/travel/lucknow/orchha", "12Go Link")</f>
        <v>12Go Link</v>
      </c>
      <c r="E2846" s="2" t="s">
        <v>77</v>
      </c>
    </row>
    <row r="2847">
      <c r="A2847" s="2" t="s">
        <v>2744</v>
      </c>
      <c r="B2847" s="2" t="s">
        <v>2277</v>
      </c>
      <c r="C2847" s="2" t="s">
        <v>3201</v>
      </c>
      <c r="D2847" s="3" t="str">
        <f>HYPERLINK("https://12go.asia/en/travel/lucknow/sikandra-agra", "12Go Link")</f>
        <v>12Go Link</v>
      </c>
      <c r="E2847" s="2" t="s">
        <v>77</v>
      </c>
    </row>
    <row r="2848">
      <c r="A2848" s="2" t="s">
        <v>2744</v>
      </c>
      <c r="B2848" s="2" t="s">
        <v>2746</v>
      </c>
      <c r="C2848" s="2" t="s">
        <v>3202</v>
      </c>
      <c r="D2848" s="3" t="str">
        <f>HYPERLINK("https://12go.asia/en/travel/lucknow-ne/chandpur-siau", "12Go Link")</f>
        <v>12Go Link</v>
      </c>
      <c r="E2848" s="2" t="s">
        <v>77</v>
      </c>
    </row>
    <row r="2849">
      <c r="A2849" s="2" t="s">
        <v>2744</v>
      </c>
      <c r="B2849" s="2" t="s">
        <v>2746</v>
      </c>
      <c r="C2849" s="2" t="s">
        <v>3203</v>
      </c>
      <c r="D2849" s="3" t="str">
        <f>HYPERLINK("https://12go.asia/en/travel/lucknow-nr/chaukhandi", "12Go Link")</f>
        <v>12Go Link</v>
      </c>
      <c r="E2849" s="2" t="s">
        <v>77</v>
      </c>
    </row>
    <row r="2850">
      <c r="A2850" s="2" t="s">
        <v>2744</v>
      </c>
      <c r="B2850" s="2" t="s">
        <v>2550</v>
      </c>
      <c r="C2850" s="2" t="s">
        <v>3204</v>
      </c>
      <c r="D2850" s="3" t="str">
        <f>HYPERLINK("https://12go.asia/en/travel/gomti-nagar-lucknow/deen-dayal-upadhyaya-jn", "12Go Link")</f>
        <v>12Go Link</v>
      </c>
      <c r="E2850" s="2" t="s">
        <v>77</v>
      </c>
    </row>
    <row r="2851">
      <c r="A2851" s="2" t="s">
        <v>2744</v>
      </c>
      <c r="B2851" s="2" t="s">
        <v>2550</v>
      </c>
      <c r="C2851" s="2" t="s">
        <v>3205</v>
      </c>
      <c r="D2851" s="3" t="str">
        <f>HYPERLINK("https://12go.asia/en/travel/lucknow-nr/deen-dayal-upadhyaya-jn", "12Go Link")</f>
        <v>12Go Link</v>
      </c>
      <c r="E2851" s="2" t="s">
        <v>77</v>
      </c>
    </row>
    <row r="2852">
      <c r="A2852" s="2" t="s">
        <v>3206</v>
      </c>
      <c r="B2852" s="2" t="s">
        <v>2383</v>
      </c>
      <c r="C2852" s="2" t="s">
        <v>3207</v>
      </c>
      <c r="D2852" s="3" t="str">
        <f>HYPERLINK("https://12go.asia/en/travel/ludhiana/rohtak-junction", "12Go Link")</f>
        <v>12Go Link</v>
      </c>
      <c r="E2852" s="2" t="s">
        <v>77</v>
      </c>
    </row>
    <row r="2853">
      <c r="A2853" s="2" t="s">
        <v>3206</v>
      </c>
      <c r="B2853" s="2" t="s">
        <v>2784</v>
      </c>
      <c r="C2853" s="2" t="s">
        <v>3208</v>
      </c>
      <c r="D2853" s="3" t="str">
        <f>HYPERLINK("https://12go.asia/en/travel/ludhiana/moradabad", "12Go Link")</f>
        <v>12Go Link</v>
      </c>
      <c r="E2853" s="2" t="s">
        <v>77</v>
      </c>
    </row>
    <row r="2854">
      <c r="A2854" s="2" t="s">
        <v>3206</v>
      </c>
      <c r="B2854" s="2" t="s">
        <v>2719</v>
      </c>
      <c r="C2854" s="2" t="s">
        <v>3209</v>
      </c>
      <c r="D2854" s="3" t="str">
        <f>HYPERLINK("https://12go.asia/en/travel/ludhiana/muzaffarnagar", "12Go Link")</f>
        <v>12Go Link</v>
      </c>
      <c r="E2854" s="2" t="s">
        <v>77</v>
      </c>
    </row>
    <row r="2855">
      <c r="A2855" s="2" t="s">
        <v>3206</v>
      </c>
      <c r="B2855" s="2" t="s">
        <v>3210</v>
      </c>
      <c r="C2855" s="2" t="s">
        <v>3211</v>
      </c>
      <c r="D2855" s="3" t="str">
        <f>HYPERLINK("https://12go.asia/en/travel/ludhiana/rohtak", "12Go Link")</f>
        <v>12Go Link</v>
      </c>
      <c r="E2855" s="2" t="s">
        <v>77</v>
      </c>
    </row>
    <row r="2856">
      <c r="A2856" s="2" t="s">
        <v>3206</v>
      </c>
      <c r="B2856" s="2" t="s">
        <v>2277</v>
      </c>
      <c r="C2856" s="2" t="s">
        <v>3212</v>
      </c>
      <c r="D2856" s="3" t="str">
        <f>HYPERLINK("https://12go.asia/en/travel/ludhiana/sikandra-agra", "12Go Link")</f>
        <v>12Go Link</v>
      </c>
      <c r="E2856" s="2" t="s">
        <v>77</v>
      </c>
    </row>
    <row r="2857">
      <c r="A2857" s="2" t="s">
        <v>3206</v>
      </c>
      <c r="B2857" s="2" t="s">
        <v>3213</v>
      </c>
      <c r="C2857" s="2" t="s">
        <v>3214</v>
      </c>
      <c r="D2857" s="3" t="str">
        <f>HYPERLINK("https://12go.asia/en/travel/ludhiana/sirsa", "12Go Link")</f>
        <v>12Go Link</v>
      </c>
      <c r="E2857" s="2" t="s">
        <v>77</v>
      </c>
    </row>
    <row r="2858">
      <c r="A2858" s="2" t="s">
        <v>3206</v>
      </c>
      <c r="B2858" s="2" t="s">
        <v>2550</v>
      </c>
      <c r="C2858" s="2" t="s">
        <v>3215</v>
      </c>
      <c r="D2858" s="3" t="str">
        <f>HYPERLINK("https://12go.asia/en/travel/ludhiana/deen-dayal-upadhyaya-jn", "12Go Link")</f>
        <v>12Go Link</v>
      </c>
      <c r="E2858" s="2" t="s">
        <v>77</v>
      </c>
    </row>
    <row r="2859">
      <c r="A2859" s="2" t="s">
        <v>3216</v>
      </c>
      <c r="B2859" s="2" t="s">
        <v>2847</v>
      </c>
      <c r="C2859" s="2" t="s">
        <v>3217</v>
      </c>
      <c r="D2859" s="3" t="str">
        <f>HYPERLINK("https://12go.asia/en/travel/madhupur/gujarat", "12Go Link")</f>
        <v>12Go Link</v>
      </c>
      <c r="E2859" s="2" t="s">
        <v>77</v>
      </c>
    </row>
    <row r="2860">
      <c r="A2860" s="2" t="s">
        <v>2750</v>
      </c>
      <c r="B2860" s="2" t="s">
        <v>3218</v>
      </c>
      <c r="C2860" s="2" t="s">
        <v>3219</v>
      </c>
      <c r="D2860" s="3" t="str">
        <f>HYPERLINK("https://12go.asia/en/travel/madhya-pradesh/ganj-basoda", "12Go Link")</f>
        <v>12Go Link</v>
      </c>
      <c r="E2860" s="2" t="s">
        <v>77</v>
      </c>
    </row>
    <row r="2861">
      <c r="A2861" s="2" t="s">
        <v>2750</v>
      </c>
      <c r="B2861" s="2" t="s">
        <v>3220</v>
      </c>
      <c r="C2861" s="2" t="s">
        <v>3221</v>
      </c>
      <c r="D2861" s="3" t="str">
        <f>HYPERLINK("https://12go.asia/en/travel/madhya-pradesh/pratapgarh", "12Go Link")</f>
        <v>12Go Link</v>
      </c>
      <c r="E2861" s="2" t="s">
        <v>77</v>
      </c>
    </row>
    <row r="2862">
      <c r="A2862" s="2" t="s">
        <v>2750</v>
      </c>
      <c r="B2862" s="2" t="s">
        <v>2447</v>
      </c>
      <c r="C2862" s="2" t="s">
        <v>3222</v>
      </c>
      <c r="D2862" s="3" t="str">
        <f>HYPERLINK("https://12go.asia/en/travel/madhya-pradesh/tambaram", "12Go Link")</f>
        <v>12Go Link</v>
      </c>
      <c r="E2862" s="2" t="s">
        <v>77</v>
      </c>
    </row>
    <row r="2863">
      <c r="A2863" s="2" t="s">
        <v>2633</v>
      </c>
      <c r="B2863" s="2" t="s">
        <v>3223</v>
      </c>
      <c r="C2863" s="2" t="s">
        <v>3224</v>
      </c>
      <c r="D2863" s="3" t="str">
        <f>HYPERLINK("https://12go.asia/en/travel/madurai-junction/ariyalur", "12Go Link")</f>
        <v>12Go Link</v>
      </c>
      <c r="E2863" s="2" t="s">
        <v>77</v>
      </c>
    </row>
    <row r="2864">
      <c r="A2864" s="2" t="s">
        <v>2633</v>
      </c>
      <c r="B2864" s="2" t="s">
        <v>3223</v>
      </c>
      <c r="C2864" s="2" t="s">
        <v>3225</v>
      </c>
      <c r="D2864" s="3" t="str">
        <f>HYPERLINK("https://12go.asia/en/travel/madurai/ariyalur", "12Go Link")</f>
        <v>12Go Link</v>
      </c>
      <c r="E2864" s="2" t="s">
        <v>77</v>
      </c>
    </row>
    <row r="2865">
      <c r="A2865" s="2" t="s">
        <v>2633</v>
      </c>
      <c r="B2865" s="2" t="s">
        <v>2459</v>
      </c>
      <c r="C2865" s="2" t="s">
        <v>3226</v>
      </c>
      <c r="D2865" s="3" t="str">
        <f>HYPERLINK("https://12go.asia/en/travel/madurai-junction/jaipur", "12Go Link")</f>
        <v>12Go Link</v>
      </c>
      <c r="E2865" s="2" t="s">
        <v>77</v>
      </c>
    </row>
    <row r="2866">
      <c r="A2866" s="2" t="s">
        <v>2633</v>
      </c>
      <c r="B2866" s="2" t="s">
        <v>2459</v>
      </c>
      <c r="C2866" s="2" t="s">
        <v>3227</v>
      </c>
      <c r="D2866" s="3" t="str">
        <f>HYPERLINK("https://12go.asia/en/travel/madurai/jaipur", "12Go Link")</f>
        <v>12Go Link</v>
      </c>
      <c r="E2866" s="2" t="s">
        <v>77</v>
      </c>
    </row>
    <row r="2867">
      <c r="A2867" s="2" t="s">
        <v>3228</v>
      </c>
      <c r="B2867" s="2" t="s">
        <v>2431</v>
      </c>
      <c r="C2867" s="2" t="s">
        <v>3229</v>
      </c>
      <c r="D2867" s="3" t="str">
        <f>HYPERLINK("https://12go.asia/en/travel/mahabalipuram/ernakulam", "12Go Link")</f>
        <v>12Go Link</v>
      </c>
      <c r="E2867" s="2" t="s">
        <v>25</v>
      </c>
    </row>
    <row r="2868">
      <c r="A2868" s="2" t="s">
        <v>3228</v>
      </c>
      <c r="B2868" s="2" t="s">
        <v>2866</v>
      </c>
      <c r="C2868" s="2" t="s">
        <v>3230</v>
      </c>
      <c r="D2868" s="3" t="str">
        <f>HYPERLINK("https://12go.asia/en/travel/mahabalipuram/kochi-india", "12Go Link")</f>
        <v>12Go Link</v>
      </c>
      <c r="E2868" s="2" t="s">
        <v>25</v>
      </c>
    </row>
    <row r="2869">
      <c r="A2869" s="2" t="s">
        <v>2434</v>
      </c>
      <c r="B2869" s="2" t="s">
        <v>2286</v>
      </c>
      <c r="C2869" s="2" t="s">
        <v>3231</v>
      </c>
      <c r="D2869" s="3" t="str">
        <f>HYPERLINK("https://12go.asia/en/travel/maharashtra/bathinda", "12Go Link")</f>
        <v>12Go Link</v>
      </c>
      <c r="E2869" s="2" t="s">
        <v>77</v>
      </c>
    </row>
    <row r="2870">
      <c r="A2870" s="2" t="s">
        <v>2434</v>
      </c>
      <c r="B2870" s="2" t="s">
        <v>2606</v>
      </c>
      <c r="C2870" s="2" t="s">
        <v>3232</v>
      </c>
      <c r="D2870" s="3" t="str">
        <f>HYPERLINK("https://12go.asia/en/travel/sawantwadi-road/bandra-terminus", "12Go Link")</f>
        <v>12Go Link</v>
      </c>
      <c r="E2870" s="2" t="s">
        <v>77</v>
      </c>
    </row>
    <row r="2871">
      <c r="A2871" s="2" t="s">
        <v>2434</v>
      </c>
      <c r="B2871" s="2" t="s">
        <v>3233</v>
      </c>
      <c r="C2871" s="2" t="s">
        <v>3234</v>
      </c>
      <c r="D2871" s="3" t="str">
        <f>HYPERLINK("https://12go.asia/en/travel/maharashtra/ganagapur-road", "12Go Link")</f>
        <v>12Go Link</v>
      </c>
      <c r="E2871" s="2" t="s">
        <v>77</v>
      </c>
    </row>
    <row r="2872">
      <c r="A2872" s="2" t="s">
        <v>2434</v>
      </c>
      <c r="B2872" s="2" t="s">
        <v>2713</v>
      </c>
      <c r="C2872" s="2" t="s">
        <v>3235</v>
      </c>
      <c r="D2872" s="3" t="str">
        <f>HYPERLINK("https://12go.asia/en/travel/maharashtra/godhra", "12Go Link")</f>
        <v>12Go Link</v>
      </c>
      <c r="E2872" s="2" t="s">
        <v>77</v>
      </c>
    </row>
    <row r="2873">
      <c r="A2873" s="2" t="s">
        <v>2434</v>
      </c>
      <c r="B2873" s="2" t="s">
        <v>2459</v>
      </c>
      <c r="C2873" s="2" t="s">
        <v>3236</v>
      </c>
      <c r="D2873" s="3" t="str">
        <f>HYPERLINK("https://12go.asia/en/travel/purna-junction/jaipur", "12Go Link")</f>
        <v>12Go Link</v>
      </c>
      <c r="E2873" s="2" t="s">
        <v>77</v>
      </c>
    </row>
    <row r="2874">
      <c r="A2874" s="2" t="s">
        <v>2434</v>
      </c>
      <c r="B2874" s="2" t="s">
        <v>3237</v>
      </c>
      <c r="C2874" s="2" t="s">
        <v>3238</v>
      </c>
      <c r="D2874" s="3" t="str">
        <f>HYPERLINK("https://12go.asia/en/travel/maharashtra/kottayam", "12Go Link")</f>
        <v>12Go Link</v>
      </c>
      <c r="E2874" s="2" t="s">
        <v>77</v>
      </c>
    </row>
    <row r="2875">
      <c r="A2875" s="2" t="s">
        <v>2434</v>
      </c>
      <c r="B2875" s="2" t="s">
        <v>2784</v>
      </c>
      <c r="C2875" s="2" t="s">
        <v>3239</v>
      </c>
      <c r="D2875" s="3" t="str">
        <f>HYPERLINK("https://12go.asia/en/travel/maharashtra/moradabad", "12Go Link")</f>
        <v>12Go Link</v>
      </c>
      <c r="E2875" s="2" t="s">
        <v>77</v>
      </c>
    </row>
    <row r="2876">
      <c r="A2876" s="2" t="s">
        <v>2434</v>
      </c>
      <c r="B2876" s="2" t="s">
        <v>2668</v>
      </c>
      <c r="C2876" s="2" t="s">
        <v>3240</v>
      </c>
      <c r="D2876" s="3" t="str">
        <f>HYPERLINK("https://12go.asia/en/travel/rotegaon/mumbai-cst", "12Go Link")</f>
        <v>12Go Link</v>
      </c>
      <c r="E2876" s="2" t="s">
        <v>77</v>
      </c>
    </row>
    <row r="2877">
      <c r="A2877" s="2" t="s">
        <v>2434</v>
      </c>
      <c r="B2877" s="2" t="s">
        <v>2827</v>
      </c>
      <c r="C2877" s="2" t="s">
        <v>3241</v>
      </c>
      <c r="D2877" s="3" t="str">
        <f>HYPERLINK("https://12go.asia/en/travel/latur-road/secunderabad", "12Go Link")</f>
        <v>12Go Link</v>
      </c>
      <c r="E2877" s="2" t="s">
        <v>77</v>
      </c>
    </row>
    <row r="2878">
      <c r="A2878" s="2" t="s">
        <v>2434</v>
      </c>
      <c r="B2878" s="2" t="s">
        <v>3242</v>
      </c>
      <c r="C2878" s="2" t="s">
        <v>3243</v>
      </c>
      <c r="D2878" s="3" t="str">
        <f>HYPERLINK("https://12go.asia/en/travel/maharashtra/tandur", "12Go Link")</f>
        <v>12Go Link</v>
      </c>
      <c r="E2878" s="2" t="s">
        <v>77</v>
      </c>
    </row>
    <row r="2879">
      <c r="A2879" s="2" t="s">
        <v>3244</v>
      </c>
      <c r="B2879" s="2" t="s">
        <v>2896</v>
      </c>
      <c r="C2879" s="2" t="s">
        <v>3245</v>
      </c>
      <c r="D2879" s="3" t="str">
        <f>HYPERLINK("https://12go.asia/en/travel/mahbubnagar/visakhapatnam", "12Go Link")</f>
        <v>12Go Link</v>
      </c>
      <c r="E2879" s="2" t="s">
        <v>77</v>
      </c>
    </row>
    <row r="2880">
      <c r="A2880" s="2" t="s">
        <v>3014</v>
      </c>
      <c r="B2880" s="2" t="s">
        <v>2583</v>
      </c>
      <c r="C2880" s="2" t="s">
        <v>3246</v>
      </c>
      <c r="D2880" s="3" t="str">
        <f>HYPERLINK("https://12go.asia/en/travel/mangalore-central/birur-junction", "12Go Link")</f>
        <v>12Go Link</v>
      </c>
      <c r="E2880" s="2" t="s">
        <v>77</v>
      </c>
    </row>
    <row r="2881">
      <c r="A2881" s="2" t="s">
        <v>3014</v>
      </c>
      <c r="B2881" s="2" t="s">
        <v>2583</v>
      </c>
      <c r="C2881" s="2" t="s">
        <v>3247</v>
      </c>
      <c r="D2881" s="3" t="str">
        <f>HYPERLINK("https://12go.asia/en/travel/mangalore/birur", "12Go Link")</f>
        <v>12Go Link</v>
      </c>
      <c r="E2881" s="2" t="s">
        <v>77</v>
      </c>
    </row>
    <row r="2882">
      <c r="A2882" s="2" t="s">
        <v>3014</v>
      </c>
      <c r="B2882" s="2" t="s">
        <v>2877</v>
      </c>
      <c r="C2882" s="2" t="s">
        <v>3248</v>
      </c>
      <c r="D2882" s="3" t="str">
        <f>HYPERLINK("https://12go.asia/en/travel/mangalore-jn/honnavar", "12Go Link")</f>
        <v>12Go Link</v>
      </c>
      <c r="E2882" s="2" t="s">
        <v>77</v>
      </c>
    </row>
    <row r="2883">
      <c r="A2883" s="2" t="s">
        <v>3014</v>
      </c>
      <c r="B2883" s="2" t="s">
        <v>3043</v>
      </c>
      <c r="C2883" s="2" t="s">
        <v>3249</v>
      </c>
      <c r="D2883" s="3" t="str">
        <f>HYPERLINK("https://12go.asia/en/travel/mangalore-jn/kumta", "12Go Link")</f>
        <v>12Go Link</v>
      </c>
      <c r="E2883" s="2" t="s">
        <v>77</v>
      </c>
    </row>
    <row r="2884">
      <c r="A2884" s="2" t="s">
        <v>3250</v>
      </c>
      <c r="B2884" s="2" t="s">
        <v>2550</v>
      </c>
      <c r="C2884" s="2" t="s">
        <v>3251</v>
      </c>
      <c r="D2884" s="3" t="str">
        <f>HYPERLINK("https://12go.asia/en/travel/manikpur-junction/banaras", "12Go Link")</f>
        <v>12Go Link</v>
      </c>
      <c r="E2884" s="2" t="s">
        <v>77</v>
      </c>
    </row>
    <row r="2885">
      <c r="A2885" s="2" t="s">
        <v>3252</v>
      </c>
      <c r="B2885" s="2" t="s">
        <v>3253</v>
      </c>
      <c r="C2885" s="2" t="s">
        <v>3254</v>
      </c>
      <c r="D2885" s="3" t="str">
        <f>HYPERLINK("https://12go.asia/en/travel/manipal/trivandrum", "12Go Link")</f>
        <v>12Go Link</v>
      </c>
      <c r="E2885" s="2" t="s">
        <v>77</v>
      </c>
    </row>
    <row r="2886">
      <c r="A2886" s="2" t="s">
        <v>2402</v>
      </c>
      <c r="B2886" s="2" t="s">
        <v>2572</v>
      </c>
      <c r="C2886" s="2" t="s">
        <v>3255</v>
      </c>
      <c r="D2886" s="3" t="str">
        <f>HYPERLINK("https://12go.asia/en/travel/manmad-junction/bhopal-jn", "12Go Link")</f>
        <v>12Go Link</v>
      </c>
      <c r="E2886" s="2" t="s">
        <v>77</v>
      </c>
    </row>
    <row r="2887">
      <c r="A2887" s="2" t="s">
        <v>2402</v>
      </c>
      <c r="B2887" s="2" t="s">
        <v>3096</v>
      </c>
      <c r="C2887" s="2" t="s">
        <v>3256</v>
      </c>
      <c r="D2887" s="3" t="str">
        <f>HYPERLINK("https://12go.asia/en/travel/manmad-junction/shalimar", "12Go Link")</f>
        <v>12Go Link</v>
      </c>
      <c r="E2887" s="2" t="s">
        <v>77</v>
      </c>
    </row>
    <row r="2888">
      <c r="A2888" s="2" t="s">
        <v>2402</v>
      </c>
      <c r="B2888" s="2" t="s">
        <v>3096</v>
      </c>
      <c r="C2888" s="2" t="s">
        <v>3257</v>
      </c>
      <c r="D2888" s="3" t="str">
        <f>HYPERLINK("https://12go.asia/en/travel/manmad/kolkata", "12Go Link")</f>
        <v>12Go Link</v>
      </c>
      <c r="E2888" s="2" t="s">
        <v>77</v>
      </c>
    </row>
    <row r="2889">
      <c r="A2889" s="2" t="s">
        <v>2402</v>
      </c>
      <c r="B2889" s="2" t="s">
        <v>2626</v>
      </c>
      <c r="C2889" s="2" t="s">
        <v>3258</v>
      </c>
      <c r="D2889" s="3" t="str">
        <f>HYPERLINK("https://12go.asia/en/travel/manmad/west-bengal", "12Go Link")</f>
        <v>12Go Link</v>
      </c>
      <c r="E2889" s="2" t="s">
        <v>77</v>
      </c>
    </row>
    <row r="2890">
      <c r="A2890" s="2" t="s">
        <v>3259</v>
      </c>
      <c r="B2890" s="2" t="s">
        <v>3260</v>
      </c>
      <c r="C2890" s="2" t="s">
        <v>3261</v>
      </c>
      <c r="D2890" s="3" t="str">
        <f>HYPERLINK("https://12go.asia/en/travel/manthralayam-road/hassan", "12Go Link")</f>
        <v>12Go Link</v>
      </c>
      <c r="E2890" s="2" t="s">
        <v>77</v>
      </c>
    </row>
    <row r="2891">
      <c r="A2891" s="2" t="s">
        <v>3259</v>
      </c>
      <c r="B2891" s="2" t="s">
        <v>3260</v>
      </c>
      <c r="C2891" s="2" t="s">
        <v>3262</v>
      </c>
      <c r="D2891" s="3" t="str">
        <f>HYPERLINK("https://12go.asia/en/travel/mantralayam/hassan", "12Go Link")</f>
        <v>12Go Link</v>
      </c>
      <c r="E2891" s="2" t="s">
        <v>77</v>
      </c>
    </row>
    <row r="2892">
      <c r="A2892" s="2" t="s">
        <v>2453</v>
      </c>
      <c r="B2892" s="2" t="s">
        <v>2805</v>
      </c>
      <c r="C2892" s="2" t="s">
        <v>3263</v>
      </c>
      <c r="D2892" s="3" t="str">
        <f>HYPERLINK("https://12go.asia/en/travel/margao/davanagere", "12Go Link")</f>
        <v>12Go Link</v>
      </c>
      <c r="E2892" s="2" t="s">
        <v>77</v>
      </c>
    </row>
    <row r="2893">
      <c r="A2893" s="2" t="s">
        <v>2453</v>
      </c>
      <c r="B2893" s="2" t="s">
        <v>2872</v>
      </c>
      <c r="C2893" s="2" t="s">
        <v>3264</v>
      </c>
      <c r="D2893" s="3" t="str">
        <f>HYPERLINK("https://12go.asia/en/travel/margao/hisar", "12Go Link")</f>
        <v>12Go Link</v>
      </c>
      <c r="E2893" s="2" t="s">
        <v>77</v>
      </c>
    </row>
    <row r="2894">
      <c r="A2894" s="2" t="s">
        <v>2453</v>
      </c>
      <c r="B2894" s="2" t="s">
        <v>3265</v>
      </c>
      <c r="C2894" s="2" t="s">
        <v>3266</v>
      </c>
      <c r="D2894" s="3" t="str">
        <f>HYPERLINK("https://12go.asia/en/travel/margao/miraj", "12Go Link")</f>
        <v>12Go Link</v>
      </c>
      <c r="E2894" s="2" t="s">
        <v>77</v>
      </c>
    </row>
    <row r="2895">
      <c r="A2895" s="2" t="s">
        <v>2453</v>
      </c>
      <c r="B2895" s="2" t="s">
        <v>2450</v>
      </c>
      <c r="C2895" s="2" t="s">
        <v>3267</v>
      </c>
      <c r="D2895" s="3" t="str">
        <f>HYPERLINK("https://12go.asia/en/travel/margao/tirunelveli", "12Go Link")</f>
        <v>12Go Link</v>
      </c>
      <c r="E2895" s="2" t="s">
        <v>77</v>
      </c>
    </row>
    <row r="2896">
      <c r="A2896" s="2" t="s">
        <v>2574</v>
      </c>
      <c r="B2896" s="2" t="s">
        <v>2802</v>
      </c>
      <c r="C2896" s="2" t="s">
        <v>3268</v>
      </c>
      <c r="D2896" s="3" t="str">
        <f>HYPERLINK("https://12go.asia/en/travel/mau-junction/ghaziabad", "12Go Link")</f>
        <v>12Go Link</v>
      </c>
      <c r="E2896" s="2" t="s">
        <v>77</v>
      </c>
    </row>
    <row r="2897">
      <c r="A2897" s="2" t="s">
        <v>2574</v>
      </c>
      <c r="B2897" s="2" t="s">
        <v>2802</v>
      </c>
      <c r="C2897" s="2" t="s">
        <v>3269</v>
      </c>
      <c r="D2897" s="3" t="str">
        <f>HYPERLINK("https://12go.asia/en/travel/mau/ghaziabad", "12Go Link")</f>
        <v>12Go Link</v>
      </c>
      <c r="E2897" s="2" t="s">
        <v>77</v>
      </c>
    </row>
    <row r="2898">
      <c r="A2898" s="2" t="s">
        <v>3270</v>
      </c>
      <c r="B2898" s="2" t="s">
        <v>2479</v>
      </c>
      <c r="C2898" s="2" t="s">
        <v>3271</v>
      </c>
      <c r="D2898" s="3" t="str">
        <f>HYPERLINK("https://12go.asia/en/travel/mavelikara/coimbatore", "12Go Link")</f>
        <v>12Go Link</v>
      </c>
      <c r="E2898" s="2" t="s">
        <v>77</v>
      </c>
    </row>
    <row r="2899">
      <c r="A2899" s="2" t="s">
        <v>2784</v>
      </c>
      <c r="B2899" s="2" t="s">
        <v>2274</v>
      </c>
      <c r="C2899" s="2" t="s">
        <v>3272</v>
      </c>
      <c r="D2899" s="3" t="str">
        <f>HYPERLINK("https://12go.asia/en/travel/moradabad/abhaneri", "12Go Link")</f>
        <v>12Go Link</v>
      </c>
      <c r="E2899" s="2" t="s">
        <v>77</v>
      </c>
    </row>
    <row r="2900">
      <c r="A2900" s="2" t="s">
        <v>2784</v>
      </c>
      <c r="B2900" s="2" t="s">
        <v>2491</v>
      </c>
      <c r="C2900" s="2" t="s">
        <v>3273</v>
      </c>
      <c r="D2900" s="3" t="str">
        <f>HYPERLINK("https://12go.asia/en/travel/moradabad/muzaffarpur", "12Go Link")</f>
        <v>12Go Link</v>
      </c>
      <c r="E2900" s="2" t="s">
        <v>77</v>
      </c>
    </row>
    <row r="2901">
      <c r="A2901" s="2" t="s">
        <v>2784</v>
      </c>
      <c r="B2901" s="2" t="s">
        <v>2491</v>
      </c>
      <c r="C2901" s="2" t="s">
        <v>3274</v>
      </c>
      <c r="D2901" s="3" t="str">
        <f>HYPERLINK("https://12go.asia/en/travel/moradabad/muzaffarpur-junction", "12Go Link")</f>
        <v>12Go Link</v>
      </c>
      <c r="E2901" s="2" t="s">
        <v>77</v>
      </c>
    </row>
    <row r="2902">
      <c r="A2902" s="2" t="s">
        <v>2784</v>
      </c>
      <c r="B2902" s="2" t="s">
        <v>3275</v>
      </c>
      <c r="C2902" s="2" t="s">
        <v>3276</v>
      </c>
      <c r="D2902" s="3" t="str">
        <f>HYPERLINK("https://12go.asia/en/travel/moradabad/ramnagar-uttarakhand", "12Go Link")</f>
        <v>12Go Link</v>
      </c>
      <c r="E2902" s="2" t="s">
        <v>77</v>
      </c>
    </row>
    <row r="2903">
      <c r="A2903" s="2" t="s">
        <v>2784</v>
      </c>
      <c r="B2903" s="2" t="s">
        <v>2746</v>
      </c>
      <c r="C2903" s="2" t="s">
        <v>3277</v>
      </c>
      <c r="D2903" s="3" t="str">
        <f>HYPERLINK("https://12go.asia/en/travel/moradabad/raja-ka-sahaspr", "12Go Link")</f>
        <v>12Go Link</v>
      </c>
      <c r="E2903" s="2" t="s">
        <v>77</v>
      </c>
    </row>
    <row r="2904">
      <c r="A2904" s="2" t="s">
        <v>2703</v>
      </c>
      <c r="B2904" s="2" t="s">
        <v>2400</v>
      </c>
      <c r="C2904" s="2" t="s">
        <v>3278</v>
      </c>
      <c r="D2904" s="3" t="str">
        <f>HYPERLINK("https://12go.asia/en/travel/mughalsarai/durgapur", "12Go Link")</f>
        <v>12Go Link</v>
      </c>
      <c r="E2904" s="2" t="s">
        <v>77</v>
      </c>
    </row>
    <row r="2905">
      <c r="A2905" s="2" t="s">
        <v>2703</v>
      </c>
      <c r="B2905" s="2" t="s">
        <v>2600</v>
      </c>
      <c r="C2905" s="2" t="s">
        <v>3279</v>
      </c>
      <c r="D2905" s="3" t="str">
        <f>HYPERLINK("https://12go.asia/en/travel/mughalsarai/jalpaiguri", "12Go Link")</f>
        <v>12Go Link</v>
      </c>
      <c r="E2905" s="2" t="s">
        <v>77</v>
      </c>
    </row>
    <row r="2906">
      <c r="A2906" s="2" t="s">
        <v>2668</v>
      </c>
      <c r="B2906" s="2" t="s">
        <v>2455</v>
      </c>
      <c r="C2906" s="2" t="s">
        <v>3280</v>
      </c>
      <c r="D2906" s="3" t="str">
        <f>HYPERLINK("https://12go.asia/en/travel/mumbai-cst/asansol-junction", "12Go Link")</f>
        <v>12Go Link</v>
      </c>
      <c r="E2906" s="2" t="s">
        <v>77</v>
      </c>
    </row>
    <row r="2907">
      <c r="A2907" s="2" t="s">
        <v>2668</v>
      </c>
      <c r="B2907" s="2" t="s">
        <v>2675</v>
      </c>
      <c r="C2907" s="2" t="s">
        <v>3281</v>
      </c>
      <c r="D2907" s="3" t="str">
        <f>HYPERLINK("https://12go.asia/en/travel/lokmanya-tilak-term/erode", "12Go Link")</f>
        <v>12Go Link</v>
      </c>
      <c r="E2907" s="2" t="s">
        <v>77</v>
      </c>
    </row>
    <row r="2908">
      <c r="A2908" s="2" t="s">
        <v>2668</v>
      </c>
      <c r="B2908" s="2" t="s">
        <v>2675</v>
      </c>
      <c r="C2908" s="2" t="s">
        <v>3282</v>
      </c>
      <c r="D2908" s="3" t="str">
        <f>HYPERLINK("https://12go.asia/en/travel/mumbai/erode", "12Go Link")</f>
        <v>12Go Link</v>
      </c>
      <c r="E2908" s="2" t="s">
        <v>77</v>
      </c>
    </row>
    <row r="2909">
      <c r="A2909" s="2" t="s">
        <v>2668</v>
      </c>
      <c r="B2909" s="2" t="s">
        <v>2700</v>
      </c>
      <c r="C2909" s="2" t="s">
        <v>3283</v>
      </c>
      <c r="D2909" s="3" t="str">
        <f>HYPERLINK("https://12go.asia/en/travel/mumbai/bangla", "12Go Link")</f>
        <v>12Go Link</v>
      </c>
      <c r="E2909" s="2" t="s">
        <v>25</v>
      </c>
    </row>
    <row r="2910">
      <c r="A2910" s="2" t="s">
        <v>2668</v>
      </c>
      <c r="B2910" s="2" t="s">
        <v>3237</v>
      </c>
      <c r="C2910" s="2" t="s">
        <v>3284</v>
      </c>
      <c r="D2910" s="3" t="str">
        <f>HYPERLINK("https://12go.asia/en/travel/lokmanya-tilak-term/kottayam", "12Go Link")</f>
        <v>12Go Link</v>
      </c>
      <c r="E2910" s="2" t="s">
        <v>77</v>
      </c>
    </row>
    <row r="2911">
      <c r="A2911" s="2" t="s">
        <v>2668</v>
      </c>
      <c r="B2911" s="2" t="s">
        <v>3173</v>
      </c>
      <c r="C2911" s="2" t="s">
        <v>3285</v>
      </c>
      <c r="D2911" s="3" t="str">
        <f>HYPERLINK("https://12go.asia/en/travel/lokmanya-tilak-term/kundapura", "12Go Link")</f>
        <v>12Go Link</v>
      </c>
      <c r="E2911" s="2" t="s">
        <v>77</v>
      </c>
    </row>
    <row r="2912">
      <c r="A2912" s="2" t="s">
        <v>2668</v>
      </c>
      <c r="B2912" s="2" t="s">
        <v>3286</v>
      </c>
      <c r="C2912" s="2" t="s">
        <v>3287</v>
      </c>
      <c r="D2912" s="3" t="str">
        <f>HYPERLINK("https://12go.asia/en/travel/mumbai/morbi", "12Go Link")</f>
        <v>12Go Link</v>
      </c>
      <c r="E2912" s="2" t="s">
        <v>77</v>
      </c>
    </row>
    <row r="2913">
      <c r="A2913" s="2" t="s">
        <v>3288</v>
      </c>
      <c r="B2913" s="2" t="s">
        <v>3134</v>
      </c>
      <c r="C2913" s="2" t="s">
        <v>3289</v>
      </c>
      <c r="D2913" s="3" t="str">
        <f>HYPERLINK("https://12go.asia/en/travel/muniguda/duvvada", "12Go Link")</f>
        <v>12Go Link</v>
      </c>
      <c r="E2913" s="2" t="s">
        <v>77</v>
      </c>
    </row>
    <row r="2914">
      <c r="A2914" s="2" t="s">
        <v>3288</v>
      </c>
      <c r="B2914" s="2" t="s">
        <v>2896</v>
      </c>
      <c r="C2914" s="2" t="s">
        <v>3290</v>
      </c>
      <c r="D2914" s="3" t="str">
        <f>HYPERLINK("https://12go.asia/en/travel/muniguda/visakhapatnam", "12Go Link")</f>
        <v>12Go Link</v>
      </c>
      <c r="E2914" s="2" t="s">
        <v>77</v>
      </c>
    </row>
    <row r="2915">
      <c r="A2915" s="2" t="s">
        <v>3291</v>
      </c>
      <c r="B2915" s="2" t="s">
        <v>2430</v>
      </c>
      <c r="C2915" s="2" t="s">
        <v>3292</v>
      </c>
      <c r="D2915" s="3" t="str">
        <f>HYPERLINK("https://12go.asia/en/travel/murdeshwar/anjuna", "12Go Link")</f>
        <v>12Go Link</v>
      </c>
      <c r="E2915" s="2" t="s">
        <v>77</v>
      </c>
    </row>
    <row r="2916">
      <c r="A2916" s="2" t="s">
        <v>3291</v>
      </c>
      <c r="B2916" s="2" t="s">
        <v>3163</v>
      </c>
      <c r="C2916" s="2" t="s">
        <v>3293</v>
      </c>
      <c r="D2916" s="3" t="str">
        <f>HYPERLINK("https://12go.asia/en/travel/murdeshwar/north-goa", "12Go Link")</f>
        <v>12Go Link</v>
      </c>
      <c r="E2916" s="2" t="s">
        <v>77</v>
      </c>
    </row>
    <row r="2917">
      <c r="A2917" s="2" t="s">
        <v>3294</v>
      </c>
      <c r="B2917" s="2" t="s">
        <v>2626</v>
      </c>
      <c r="C2917" s="2" t="s">
        <v>3295</v>
      </c>
      <c r="D2917" s="3" t="str">
        <f>HYPERLINK("https://12go.asia/en/travel/murshidabad/west-bengal", "12Go Link")</f>
        <v>12Go Link</v>
      </c>
      <c r="E2917" s="2" t="s">
        <v>77</v>
      </c>
    </row>
    <row r="2918">
      <c r="A2918" s="2" t="s">
        <v>2719</v>
      </c>
      <c r="B2918" s="2" t="s">
        <v>2628</v>
      </c>
      <c r="C2918" s="2" t="s">
        <v>3296</v>
      </c>
      <c r="D2918" s="3" t="str">
        <f>HYPERLINK("https://12go.asia/en/travel/muzaffarnagar/chandigarh", "12Go Link")</f>
        <v>12Go Link</v>
      </c>
      <c r="E2918" s="2" t="s">
        <v>77</v>
      </c>
    </row>
    <row r="2919">
      <c r="A2919" s="2" t="s">
        <v>2719</v>
      </c>
      <c r="B2919" s="2" t="s">
        <v>2383</v>
      </c>
      <c r="C2919" s="2" t="s">
        <v>3297</v>
      </c>
      <c r="D2919" s="3" t="str">
        <f>HYPERLINK("https://12go.asia/en/travel/muzaffarnagar/haryana", "12Go Link")</f>
        <v>12Go Link</v>
      </c>
      <c r="E2919" s="2" t="s">
        <v>77</v>
      </c>
    </row>
    <row r="2920">
      <c r="A2920" s="2" t="s">
        <v>2719</v>
      </c>
      <c r="B2920" s="2" t="s">
        <v>3298</v>
      </c>
      <c r="C2920" s="2" t="s">
        <v>3299</v>
      </c>
      <c r="D2920" s="3" t="str">
        <f>HYPERLINK("https://12go.asia/en/travel/muzaffarnagar/punjab", "12Go Link")</f>
        <v>12Go Link</v>
      </c>
      <c r="E2920" s="2" t="s">
        <v>77</v>
      </c>
    </row>
    <row r="2921">
      <c r="A2921" s="2" t="s">
        <v>2719</v>
      </c>
      <c r="B2921" s="2" t="s">
        <v>3300</v>
      </c>
      <c r="C2921" s="2" t="s">
        <v>3301</v>
      </c>
      <c r="D2921" s="3" t="str">
        <f>HYPERLINK("https://12go.asia/en/travel/muzaffarnagar/ujjain", "12Go Link")</f>
        <v>12Go Link</v>
      </c>
      <c r="E2921" s="2" t="s">
        <v>77</v>
      </c>
    </row>
    <row r="2922">
      <c r="A2922" s="2" t="s">
        <v>2491</v>
      </c>
      <c r="B2922" s="2" t="s">
        <v>2330</v>
      </c>
      <c r="C2922" s="2" t="s">
        <v>3302</v>
      </c>
      <c r="D2922" s="3" t="str">
        <f>HYPERLINK("https://12go.asia/en/travel/muzaffarpur-junction/ahmedabad-jn", "12Go Link")</f>
        <v>12Go Link</v>
      </c>
      <c r="E2922" s="2" t="s">
        <v>77</v>
      </c>
    </row>
    <row r="2923">
      <c r="A2923" s="2" t="s">
        <v>2491</v>
      </c>
      <c r="B2923" s="2" t="s">
        <v>2670</v>
      </c>
      <c r="C2923" s="2" t="s">
        <v>3303</v>
      </c>
      <c r="D2923" s="3" t="str">
        <f>HYPERLINK("https://12go.asia/en/travel/muzaffarpur/chhattisgarh", "12Go Link")</f>
        <v>12Go Link</v>
      </c>
      <c r="E2923" s="2" t="s">
        <v>77</v>
      </c>
    </row>
    <row r="2924">
      <c r="A2924" s="2" t="s">
        <v>2491</v>
      </c>
      <c r="B2924" s="2" t="s">
        <v>2847</v>
      </c>
      <c r="C2924" s="2" t="s">
        <v>3304</v>
      </c>
      <c r="D2924" s="3" t="str">
        <f>HYPERLINK("https://12go.asia/en/travel/muzaffarpur/gujarat", "12Go Link")</f>
        <v>12Go Link</v>
      </c>
      <c r="E2924" s="2" t="s">
        <v>77</v>
      </c>
    </row>
    <row r="2925">
      <c r="A2925" s="2" t="s">
        <v>2491</v>
      </c>
      <c r="B2925" s="2" t="s">
        <v>2974</v>
      </c>
      <c r="C2925" s="2" t="s">
        <v>3305</v>
      </c>
      <c r="D2925" s="3" t="str">
        <f>HYPERLINK("https://12go.asia/en/travel/muzaffarpur/jamshedpur", "12Go Link")</f>
        <v>12Go Link</v>
      </c>
      <c r="E2925" s="2" t="s">
        <v>77</v>
      </c>
    </row>
    <row r="2926">
      <c r="A2926" s="2" t="s">
        <v>2491</v>
      </c>
      <c r="B2926" s="2" t="s">
        <v>2752</v>
      </c>
      <c r="C2926" s="2" t="s">
        <v>3306</v>
      </c>
      <c r="D2926" s="3" t="str">
        <f>HYPERLINK("https://12go.asia/en/travel/muzaffarpur-junction/raipur-jn", "12Go Link")</f>
        <v>12Go Link</v>
      </c>
      <c r="E2926" s="2" t="s">
        <v>77</v>
      </c>
    </row>
    <row r="2927">
      <c r="A2927" s="2" t="s">
        <v>2491</v>
      </c>
      <c r="B2927" s="2" t="s">
        <v>2752</v>
      </c>
      <c r="C2927" s="2" t="s">
        <v>3307</v>
      </c>
      <c r="D2927" s="3" t="str">
        <f>HYPERLINK("https://12go.asia/en/travel/muzaffarpur/raipur", "12Go Link")</f>
        <v>12Go Link</v>
      </c>
      <c r="E2927" s="2" t="s">
        <v>77</v>
      </c>
    </row>
    <row r="2928">
      <c r="A2928" s="2" t="s">
        <v>2491</v>
      </c>
      <c r="B2928" s="2" t="s">
        <v>2777</v>
      </c>
      <c r="C2928" s="2" t="s">
        <v>3308</v>
      </c>
      <c r="D2928" s="3" t="str">
        <f>HYPERLINK("https://12go.asia/en/travel/muzaffarpur-junction/tatanagar", "12Go Link")</f>
        <v>12Go Link</v>
      </c>
      <c r="E2928" s="2" t="s">
        <v>77</v>
      </c>
    </row>
    <row r="2929">
      <c r="A2929" s="2" t="s">
        <v>2491</v>
      </c>
      <c r="B2929" s="2" t="s">
        <v>2746</v>
      </c>
      <c r="C2929" s="2" t="s">
        <v>3309</v>
      </c>
      <c r="D2929" s="3" t="str">
        <f>HYPERLINK("https://12go.asia/en/travel/muzaffarpur-junction/kaptanganj-junction", "12Go Link")</f>
        <v>12Go Link</v>
      </c>
      <c r="E2929" s="2" t="s">
        <v>77</v>
      </c>
    </row>
    <row r="2930">
      <c r="A2930" s="2" t="s">
        <v>2587</v>
      </c>
      <c r="B2930" s="2" t="s">
        <v>3020</v>
      </c>
      <c r="C2930" s="2" t="s">
        <v>3310</v>
      </c>
      <c r="D2930" s="3" t="str">
        <f>HYPERLINK("https://12go.asia/en/travel/mysore-jn/kalaburagi-junction", "12Go Link")</f>
        <v>12Go Link</v>
      </c>
      <c r="E2930" s="2" t="s">
        <v>77</v>
      </c>
    </row>
    <row r="2931">
      <c r="A2931" s="2" t="s">
        <v>2587</v>
      </c>
      <c r="B2931" s="2" t="s">
        <v>3020</v>
      </c>
      <c r="C2931" s="2" t="s">
        <v>3311</v>
      </c>
      <c r="D2931" s="3" t="str">
        <f>HYPERLINK("https://12go.asia/en/travel/mysore/kalaburagi", "12Go Link")</f>
        <v>12Go Link</v>
      </c>
      <c r="E2931" s="2" t="s">
        <v>77</v>
      </c>
    </row>
    <row r="2932">
      <c r="A2932" s="2" t="s">
        <v>2587</v>
      </c>
      <c r="B2932" s="2" t="s">
        <v>3312</v>
      </c>
      <c r="C2932" s="2" t="s">
        <v>3313</v>
      </c>
      <c r="D2932" s="3" t="str">
        <f>HYPERLINK("https://12go.asia/en/travel/mysore-jn/mayiladuturai-jn", "12Go Link")</f>
        <v>12Go Link</v>
      </c>
      <c r="E2932" s="2" t="s">
        <v>77</v>
      </c>
    </row>
    <row r="2933">
      <c r="A2933" s="2" t="s">
        <v>2587</v>
      </c>
      <c r="B2933" s="2" t="s">
        <v>3312</v>
      </c>
      <c r="C2933" s="2" t="s">
        <v>3314</v>
      </c>
      <c r="D2933" s="3" t="str">
        <f>HYPERLINK("https://12go.asia/en/travel/mysore/mayiladuthurai", "12Go Link")</f>
        <v>12Go Link</v>
      </c>
      <c r="E2933" s="2" t="s">
        <v>77</v>
      </c>
    </row>
    <row r="2934">
      <c r="A2934" s="2" t="s">
        <v>2587</v>
      </c>
      <c r="B2934" s="2" t="s">
        <v>3315</v>
      </c>
      <c r="C2934" s="2" t="s">
        <v>3316</v>
      </c>
      <c r="D2934" s="3" t="str">
        <f>HYPERLINK("https://12go.asia/en/travel/mysore-jn/raichur", "12Go Link")</f>
        <v>12Go Link</v>
      </c>
      <c r="E2934" s="2" t="s">
        <v>77</v>
      </c>
    </row>
    <row r="2935">
      <c r="A2935" s="2" t="s">
        <v>2587</v>
      </c>
      <c r="B2935" s="2" t="s">
        <v>2468</v>
      </c>
      <c r="C2935" s="2" t="s">
        <v>3317</v>
      </c>
      <c r="D2935" s="3" t="str">
        <f>HYPERLINK("https://12go.asia/en/travel/mysore/rajasthan", "12Go Link")</f>
        <v>12Go Link</v>
      </c>
      <c r="E2935" s="2" t="s">
        <v>77</v>
      </c>
    </row>
    <row r="2936">
      <c r="A2936" s="2" t="s">
        <v>3318</v>
      </c>
      <c r="B2936" s="2" t="s">
        <v>3319</v>
      </c>
      <c r="C2936" s="2" t="s">
        <v>3320</v>
      </c>
      <c r="D2936" s="3" t="str">
        <f>HYPERLINK("https://12go.asia/en/travel/nadiad-junction/anand-jn", "12Go Link")</f>
        <v>12Go Link</v>
      </c>
      <c r="E2936" s="2" t="s">
        <v>77</v>
      </c>
    </row>
    <row r="2937">
      <c r="A2937" s="2" t="s">
        <v>3321</v>
      </c>
      <c r="B2937" s="2" t="s">
        <v>2765</v>
      </c>
      <c r="C2937" s="2" t="s">
        <v>3322</v>
      </c>
      <c r="D2937" s="3" t="str">
        <f>HYPERLINK("https://12go.asia/en/travel/nagaland/gonda", "12Go Link")</f>
        <v>12Go Link</v>
      </c>
      <c r="E2937" s="2" t="s">
        <v>77</v>
      </c>
    </row>
    <row r="2938">
      <c r="A2938" s="2" t="s">
        <v>3321</v>
      </c>
      <c r="B2938" s="2" t="s">
        <v>2434</v>
      </c>
      <c r="C2938" s="2" t="s">
        <v>3323</v>
      </c>
      <c r="D2938" s="3" t="str">
        <f>HYPERLINK("https://12go.asia/en/travel/nagaland/maharashtra", "12Go Link")</f>
        <v>12Go Link</v>
      </c>
      <c r="E2938" s="2" t="s">
        <v>77</v>
      </c>
    </row>
    <row r="2939">
      <c r="A2939" s="2" t="s">
        <v>3321</v>
      </c>
      <c r="B2939" s="2" t="s">
        <v>2668</v>
      </c>
      <c r="C2939" s="2" t="s">
        <v>3324</v>
      </c>
      <c r="D2939" s="3" t="str">
        <f>HYPERLINK("https://12go.asia/en/travel/nagaland/mumbai", "12Go Link")</f>
        <v>12Go Link</v>
      </c>
      <c r="E2939" s="2" t="s">
        <v>77</v>
      </c>
    </row>
    <row r="2940">
      <c r="A2940" s="2" t="s">
        <v>3325</v>
      </c>
      <c r="B2940" s="2" t="s">
        <v>3096</v>
      </c>
      <c r="C2940" s="2" t="s">
        <v>3326</v>
      </c>
      <c r="D2940" s="3" t="str">
        <f>HYPERLINK("https://12go.asia/en/travel/nagaon/kolkata", "12Go Link")</f>
        <v>12Go Link</v>
      </c>
      <c r="E2940" s="2" t="s">
        <v>77</v>
      </c>
    </row>
    <row r="2941">
      <c r="A2941" s="2" t="s">
        <v>3325</v>
      </c>
      <c r="B2941" s="2" t="s">
        <v>2626</v>
      </c>
      <c r="C2941" s="2" t="s">
        <v>3327</v>
      </c>
      <c r="D2941" s="3" t="str">
        <f>HYPERLINK("https://12go.asia/en/travel/nagaon/west-bengal", "12Go Link")</f>
        <v>12Go Link</v>
      </c>
      <c r="E2941" s="2" t="s">
        <v>77</v>
      </c>
    </row>
    <row r="2942">
      <c r="A2942" s="2" t="s">
        <v>3328</v>
      </c>
      <c r="B2942" s="2" t="s">
        <v>2927</v>
      </c>
      <c r="C2942" s="2" t="s">
        <v>3329</v>
      </c>
      <c r="D2942" s="3" t="str">
        <f>HYPERLINK("https://12go.asia/en/travel/nagaur/jalandhar", "12Go Link")</f>
        <v>12Go Link</v>
      </c>
      <c r="E2942" s="2" t="s">
        <v>77</v>
      </c>
    </row>
    <row r="2943">
      <c r="A2943" s="2" t="s">
        <v>3328</v>
      </c>
      <c r="B2943" s="2" t="s">
        <v>2468</v>
      </c>
      <c r="C2943" s="2" t="s">
        <v>3330</v>
      </c>
      <c r="D2943" s="3" t="str">
        <f>HYPERLINK("https://12go.asia/en/travel/nagaur/rajasthan", "12Go Link")</f>
        <v>12Go Link</v>
      </c>
      <c r="E2943" s="2" t="s">
        <v>77</v>
      </c>
    </row>
    <row r="2944">
      <c r="A2944" s="2" t="s">
        <v>2537</v>
      </c>
      <c r="B2944" s="2" t="s">
        <v>3054</v>
      </c>
      <c r="C2944" s="2" t="s">
        <v>3331</v>
      </c>
      <c r="D2944" s="3" t="str">
        <f>HYPERLINK("https://12go.asia/en/travel/nagercoil-jn/pune-jn", "12Go Link")</f>
        <v>12Go Link</v>
      </c>
      <c r="E2944" s="2" t="s">
        <v>77</v>
      </c>
    </row>
    <row r="2945">
      <c r="A2945" s="2" t="s">
        <v>2537</v>
      </c>
      <c r="B2945" s="2" t="s">
        <v>3054</v>
      </c>
      <c r="C2945" s="2" t="s">
        <v>3332</v>
      </c>
      <c r="D2945" s="3" t="str">
        <f>HYPERLINK("https://12go.asia/en/travel/nagercoil/pune", "12Go Link")</f>
        <v>12Go Link</v>
      </c>
      <c r="E2945" s="2" t="s">
        <v>77</v>
      </c>
    </row>
    <row r="2946">
      <c r="A2946" s="2" t="s">
        <v>2537</v>
      </c>
      <c r="B2946" s="2" t="s">
        <v>3333</v>
      </c>
      <c r="C2946" s="2" t="s">
        <v>3334</v>
      </c>
      <c r="D2946" s="3" t="str">
        <f>HYPERLINK("https://12go.asia/en/travel/nagercoil-town/srirangam", "12Go Link")</f>
        <v>12Go Link</v>
      </c>
      <c r="E2946" s="2" t="s">
        <v>77</v>
      </c>
    </row>
    <row r="2947">
      <c r="A2947" s="2" t="s">
        <v>2537</v>
      </c>
      <c r="B2947" s="2" t="s">
        <v>3335</v>
      </c>
      <c r="C2947" s="2" t="s">
        <v>3336</v>
      </c>
      <c r="D2947" s="3" t="str">
        <f>HYPERLINK("https://12go.asia/en/travel/nagercoil-jn/thanjavur", "12Go Link")</f>
        <v>12Go Link</v>
      </c>
      <c r="E2947" s="2" t="s">
        <v>77</v>
      </c>
    </row>
    <row r="2948">
      <c r="A2948" s="2" t="s">
        <v>2537</v>
      </c>
      <c r="B2948" s="2" t="s">
        <v>3337</v>
      </c>
      <c r="C2948" s="2" t="s">
        <v>3338</v>
      </c>
      <c r="D2948" s="3" t="str">
        <f>HYPERLINK("https://12go.asia/en/travel/nagercoil-town/vadodara", "12Go Link")</f>
        <v>12Go Link</v>
      </c>
      <c r="E2948" s="2" t="s">
        <v>77</v>
      </c>
    </row>
    <row r="2949">
      <c r="A2949" s="2" t="s">
        <v>2537</v>
      </c>
      <c r="B2949" s="2" t="s">
        <v>3337</v>
      </c>
      <c r="C2949" s="2" t="s">
        <v>3339</v>
      </c>
      <c r="D2949" s="3" t="str">
        <f>HYPERLINK("https://12go.asia/en/travel/nagercoil/vadodara", "12Go Link")</f>
        <v>12Go Link</v>
      </c>
      <c r="E2949" s="2" t="s">
        <v>77</v>
      </c>
    </row>
    <row r="2950">
      <c r="A2950" s="2" t="s">
        <v>2861</v>
      </c>
      <c r="B2950" s="2" t="s">
        <v>2986</v>
      </c>
      <c r="C2950" s="2" t="s">
        <v>3340</v>
      </c>
      <c r="D2950" s="3" t="str">
        <f>HYPERLINK("https://12go.asia/en/travel/nagpur/jharkhand", "12Go Link")</f>
        <v>12Go Link</v>
      </c>
      <c r="E2950" s="2" t="s">
        <v>77</v>
      </c>
    </row>
    <row r="2951">
      <c r="A2951" s="2" t="s">
        <v>2861</v>
      </c>
      <c r="B2951" s="2" t="s">
        <v>3101</v>
      </c>
      <c r="C2951" s="2" t="s">
        <v>3341</v>
      </c>
      <c r="D2951" s="3" t="str">
        <f>HYPERLINK("https://12go.asia/en/travel/nagpur/katpadi", "12Go Link")</f>
        <v>12Go Link</v>
      </c>
      <c r="E2951" s="2" t="s">
        <v>77</v>
      </c>
    </row>
    <row r="2952">
      <c r="A2952" s="2" t="s">
        <v>2861</v>
      </c>
      <c r="B2952" s="2" t="s">
        <v>3101</v>
      </c>
      <c r="C2952" s="2" t="s">
        <v>3342</v>
      </c>
      <c r="D2952" s="3" t="str">
        <f>HYPERLINK("https://12go.asia/en/travel/nagpur/katpadi-junction", "12Go Link")</f>
        <v>12Go Link</v>
      </c>
      <c r="E2952" s="2" t="s">
        <v>77</v>
      </c>
    </row>
    <row r="2953">
      <c r="A2953" s="2" t="s">
        <v>2861</v>
      </c>
      <c r="B2953" s="2" t="s">
        <v>2703</v>
      </c>
      <c r="C2953" s="2" t="s">
        <v>3343</v>
      </c>
      <c r="D2953" s="3" t="str">
        <f>HYPERLINK("https://12go.asia/en/travel/nagpur/mughalsarai", "12Go Link")</f>
        <v>12Go Link</v>
      </c>
      <c r="E2953" s="2" t="s">
        <v>77</v>
      </c>
    </row>
    <row r="2954">
      <c r="A2954" s="2" t="s">
        <v>2861</v>
      </c>
      <c r="B2954" s="2" t="s">
        <v>3344</v>
      </c>
      <c r="C2954" s="2" t="s">
        <v>3345</v>
      </c>
      <c r="D2954" s="3" t="str">
        <f>HYPERLINK("https://12go.asia/en/travel/nagpur/raigarh", "12Go Link")</f>
        <v>12Go Link</v>
      </c>
      <c r="E2954" s="2" t="s">
        <v>77</v>
      </c>
    </row>
    <row r="2955">
      <c r="A2955" s="2" t="s">
        <v>2861</v>
      </c>
      <c r="B2955" s="2" t="s">
        <v>3346</v>
      </c>
      <c r="C2955" s="2" t="s">
        <v>3347</v>
      </c>
      <c r="D2955" s="3" t="str">
        <f>HYPERLINK("https://12go.asia/en/travel/itwari/tirora", "12Go Link")</f>
        <v>12Go Link</v>
      </c>
      <c r="E2955" s="2" t="s">
        <v>77</v>
      </c>
    </row>
    <row r="2956">
      <c r="A2956" s="2" t="s">
        <v>2861</v>
      </c>
      <c r="B2956" s="2" t="s">
        <v>3346</v>
      </c>
      <c r="C2956" s="2" t="s">
        <v>3348</v>
      </c>
      <c r="D2956" s="3" t="str">
        <f>HYPERLINK("https://12go.asia/en/travel/nagpur/tirora", "12Go Link")</f>
        <v>12Go Link</v>
      </c>
      <c r="E2956" s="2" t="s">
        <v>77</v>
      </c>
    </row>
    <row r="2957">
      <c r="A2957" s="2" t="s">
        <v>2861</v>
      </c>
      <c r="B2957" s="2" t="s">
        <v>3349</v>
      </c>
      <c r="C2957" s="2" t="s">
        <v>3350</v>
      </c>
      <c r="D2957" s="3" t="str">
        <f>HYPERLINK("https://12go.asia/en/travel/nagpur/vellore", "12Go Link")</f>
        <v>12Go Link</v>
      </c>
      <c r="E2957" s="2" t="s">
        <v>77</v>
      </c>
    </row>
    <row r="2958">
      <c r="A2958" s="2" t="s">
        <v>2834</v>
      </c>
      <c r="B2958" s="2" t="s">
        <v>2830</v>
      </c>
      <c r="C2958" s="2" t="s">
        <v>3351</v>
      </c>
      <c r="D2958" s="3" t="str">
        <f>HYPERLINK("https://12go.asia/en/travel/naini-junction/gorakhpur", "12Go Link")</f>
        <v>12Go Link</v>
      </c>
      <c r="E2958" s="2" t="s">
        <v>77</v>
      </c>
    </row>
    <row r="2959">
      <c r="A2959" s="2" t="s">
        <v>2834</v>
      </c>
      <c r="B2959" s="2" t="s">
        <v>2830</v>
      </c>
      <c r="C2959" s="2" t="s">
        <v>3352</v>
      </c>
      <c r="D2959" s="3" t="str">
        <f>HYPERLINK("https://12go.asia/en/travel/naini/gorakhpur", "12Go Link")</f>
        <v>12Go Link</v>
      </c>
      <c r="E2959" s="2" t="s">
        <v>77</v>
      </c>
    </row>
    <row r="2960">
      <c r="A2960" s="2" t="s">
        <v>2349</v>
      </c>
      <c r="B2960" s="2" t="s">
        <v>2330</v>
      </c>
      <c r="C2960" s="2" t="s">
        <v>3353</v>
      </c>
      <c r="D2960" s="3" t="str">
        <f>HYPERLINK("https://12go.asia/en/travel/nandurbar/ahmedabad-jn", "12Go Link")</f>
        <v>12Go Link</v>
      </c>
      <c r="E2960" s="2" t="s">
        <v>77</v>
      </c>
    </row>
    <row r="2961">
      <c r="A2961" s="2" t="s">
        <v>2349</v>
      </c>
      <c r="B2961" s="2" t="s">
        <v>2847</v>
      </c>
      <c r="C2961" s="2" t="s">
        <v>3354</v>
      </c>
      <c r="D2961" s="3" t="str">
        <f>HYPERLINK("https://12go.asia/en/travel/nandurbar/gujarat", "12Go Link")</f>
        <v>12Go Link</v>
      </c>
      <c r="E2961" s="2" t="s">
        <v>77</v>
      </c>
    </row>
    <row r="2962">
      <c r="A2962" s="2" t="s">
        <v>2363</v>
      </c>
      <c r="B2962" s="2" t="s">
        <v>2383</v>
      </c>
      <c r="C2962" s="2" t="s">
        <v>3355</v>
      </c>
      <c r="D2962" s="3" t="str">
        <f>HYPERLINK("https://12go.asia/en/travel/navi-mumbai/haryana", "12Go Link")</f>
        <v>12Go Link</v>
      </c>
      <c r="E2962" s="2" t="s">
        <v>77</v>
      </c>
    </row>
    <row r="2963">
      <c r="A2963" s="2" t="s">
        <v>2363</v>
      </c>
      <c r="B2963" s="2" t="s">
        <v>3356</v>
      </c>
      <c r="C2963" s="2" t="s">
        <v>3357</v>
      </c>
      <c r="D2963" s="3" t="str">
        <f>HYPERLINK("https://12go.asia/en/travel/navi-mumbai/junagadh", "12Go Link")</f>
        <v>12Go Link</v>
      </c>
      <c r="E2963" s="2" t="s">
        <v>77</v>
      </c>
    </row>
    <row r="2964">
      <c r="A2964" s="2" t="s">
        <v>2363</v>
      </c>
      <c r="B2964" s="2" t="s">
        <v>3150</v>
      </c>
      <c r="C2964" s="2" t="s">
        <v>3358</v>
      </c>
      <c r="D2964" s="3" t="str">
        <f>HYPERLINK("https://12go.asia/en/travel/navi-mumbai/kollam", "12Go Link")</f>
        <v>12Go Link</v>
      </c>
      <c r="E2964" s="2" t="s">
        <v>77</v>
      </c>
    </row>
    <row r="2965">
      <c r="A2965" s="2" t="s">
        <v>2363</v>
      </c>
      <c r="B2965" s="2" t="s">
        <v>2683</v>
      </c>
      <c r="C2965" s="2" t="s">
        <v>3359</v>
      </c>
      <c r="D2965" s="3" t="str">
        <f>HYPERLINK("https://12go.asia/en/travel/navi-mumbai/lingampalli", "12Go Link")</f>
        <v>12Go Link</v>
      </c>
      <c r="E2965" s="2" t="s">
        <v>77</v>
      </c>
    </row>
    <row r="2966">
      <c r="A2966" s="2" t="s">
        <v>2363</v>
      </c>
      <c r="B2966" s="2" t="s">
        <v>2346</v>
      </c>
      <c r="C2966" s="2" t="s">
        <v>3360</v>
      </c>
      <c r="D2966" s="3" t="str">
        <f>HYPERLINK("https://12go.asia/en/travel/navi-mumbai/mathura", "12Go Link")</f>
        <v>12Go Link</v>
      </c>
      <c r="E2966" s="2" t="s">
        <v>77</v>
      </c>
    </row>
    <row r="2967">
      <c r="A2967" s="2" t="s">
        <v>2363</v>
      </c>
      <c r="B2967" s="2" t="s">
        <v>2570</v>
      </c>
      <c r="C2967" s="2" t="s">
        <v>3361</v>
      </c>
      <c r="D2967" s="3" t="str">
        <f>HYPERLINK("https://12go.asia/en/travel/navi-mumbai/mount-abu", "12Go Link")</f>
        <v>12Go Link</v>
      </c>
      <c r="E2967" s="2" t="s">
        <v>77</v>
      </c>
    </row>
    <row r="2968">
      <c r="A2968" s="2" t="s">
        <v>2363</v>
      </c>
      <c r="B2968" s="2" t="s">
        <v>3030</v>
      </c>
      <c r="C2968" s="2" t="s">
        <v>3362</v>
      </c>
      <c r="D2968" s="3" t="str">
        <f>HYPERLINK("https://12go.asia/en/travel/navi-mumbai/nagda", "12Go Link")</f>
        <v>12Go Link</v>
      </c>
      <c r="E2968" s="2" t="s">
        <v>77</v>
      </c>
    </row>
    <row r="2969">
      <c r="A2969" s="2" t="s">
        <v>2363</v>
      </c>
      <c r="B2969" s="2" t="s">
        <v>3363</v>
      </c>
      <c r="C2969" s="2" t="s">
        <v>3364</v>
      </c>
      <c r="D2969" s="3" t="str">
        <f>HYPERLINK("https://12go.asia/en/travel/navi-mumbai/panipat", "12Go Link")</f>
        <v>12Go Link</v>
      </c>
      <c r="E2969" s="2" t="s">
        <v>77</v>
      </c>
    </row>
    <row r="2970">
      <c r="A2970" s="2" t="s">
        <v>2363</v>
      </c>
      <c r="B2970" s="2" t="s">
        <v>3365</v>
      </c>
      <c r="C2970" s="2" t="s">
        <v>3366</v>
      </c>
      <c r="D2970" s="3" t="str">
        <f>HYPERLINK("https://12go.asia/en/travel/navi-mumbai/pushkar", "12Go Link")</f>
        <v>12Go Link</v>
      </c>
      <c r="E2970" s="2" t="s">
        <v>77</v>
      </c>
    </row>
    <row r="2971">
      <c r="A2971" s="2" t="s">
        <v>2363</v>
      </c>
      <c r="B2971" s="2" t="s">
        <v>3367</v>
      </c>
      <c r="C2971" s="2" t="s">
        <v>3368</v>
      </c>
      <c r="D2971" s="3" t="str">
        <f>HYPERLINK("https://12go.asia/en/travel/navi-mumbai/shoranur", "12Go Link")</f>
        <v>12Go Link</v>
      </c>
      <c r="E2971" s="2" t="s">
        <v>77</v>
      </c>
    </row>
    <row r="2972">
      <c r="A2972" s="2" t="s">
        <v>2363</v>
      </c>
      <c r="B2972" s="2" t="s">
        <v>3369</v>
      </c>
      <c r="C2972" s="2" t="s">
        <v>3370</v>
      </c>
      <c r="D2972" s="3" t="str">
        <f>HYPERLINK("https://12go.asia/en/travel/navi-mumbai/viramgam", "12Go Link")</f>
        <v>12Go Link</v>
      </c>
      <c r="E2972" s="2" t="s">
        <v>77</v>
      </c>
    </row>
    <row r="2973">
      <c r="A2973" s="2" t="s">
        <v>2363</v>
      </c>
      <c r="B2973" s="2" t="s">
        <v>2279</v>
      </c>
      <c r="C2973" s="2" t="s">
        <v>3371</v>
      </c>
      <c r="D2973" s="3" t="str">
        <f>HYPERLINK("https://12go.asia/en/travel/navi-mumbai/vrindavan", "12Go Link")</f>
        <v>12Go Link</v>
      </c>
      <c r="E2973" s="2" t="s">
        <v>77</v>
      </c>
    </row>
    <row r="2974">
      <c r="A2974" s="2" t="s">
        <v>3033</v>
      </c>
      <c r="B2974" s="2" t="s">
        <v>2792</v>
      </c>
      <c r="C2974" s="2" t="s">
        <v>3372</v>
      </c>
      <c r="D2974" s="3" t="str">
        <f>HYPERLINK("https://12go.asia/en/travel/navsari/gandhidham-bg", "12Go Link")</f>
        <v>12Go Link</v>
      </c>
      <c r="E2974" s="2" t="s">
        <v>77</v>
      </c>
    </row>
    <row r="2975">
      <c r="A2975" s="2" t="s">
        <v>3033</v>
      </c>
      <c r="B2975" s="2" t="s">
        <v>2792</v>
      </c>
      <c r="C2975" s="2" t="s">
        <v>3373</v>
      </c>
      <c r="D2975" s="3" t="str">
        <f>HYPERLINK("https://12go.asia/en/travel/navsari/gandhidham", "12Go Link")</f>
        <v>12Go Link</v>
      </c>
      <c r="E2975" s="2" t="s">
        <v>77</v>
      </c>
    </row>
    <row r="2976">
      <c r="A2976" s="2" t="s">
        <v>2408</v>
      </c>
      <c r="B2976" s="2" t="s">
        <v>3374</v>
      </c>
      <c r="C2976" s="2" t="s">
        <v>3375</v>
      </c>
      <c r="D2976" s="3" t="str">
        <f>HYPERLINK("https://12go.asia/en/travel/new-delhi/balotra", "12Go Link")</f>
        <v>12Go Link</v>
      </c>
      <c r="E2976" s="2" t="s">
        <v>77</v>
      </c>
    </row>
    <row r="2977">
      <c r="A2977" s="2" t="s">
        <v>2408</v>
      </c>
      <c r="B2977" s="2" t="s">
        <v>2565</v>
      </c>
      <c r="C2977" s="2" t="s">
        <v>3376</v>
      </c>
      <c r="D2977" s="3" t="str">
        <f>HYPERLINK("https://12go.asia/en/travel/new-delhi/begu-sarai", "12Go Link")</f>
        <v>12Go Link</v>
      </c>
      <c r="E2977" s="2" t="s">
        <v>77</v>
      </c>
    </row>
    <row r="2978">
      <c r="A2978" s="2" t="s">
        <v>2408</v>
      </c>
      <c r="B2978" s="2" t="s">
        <v>3377</v>
      </c>
      <c r="C2978" s="2" t="s">
        <v>3378</v>
      </c>
      <c r="D2978" s="3" t="str">
        <f>HYPERLINK("https://12go.asia/en/travel/new-delhi/bongaigaon", "12Go Link")</f>
        <v>12Go Link</v>
      </c>
      <c r="E2978" s="2" t="s">
        <v>77</v>
      </c>
    </row>
    <row r="2979">
      <c r="A2979" s="2" t="s">
        <v>2408</v>
      </c>
      <c r="B2979" s="2" t="s">
        <v>2617</v>
      </c>
      <c r="C2979" s="2" t="s">
        <v>3379</v>
      </c>
      <c r="D2979" s="3" t="str">
        <f>HYPERLINK("https://12go.asia/en/travel/new-delhi/burhanpur", "12Go Link")</f>
        <v>12Go Link</v>
      </c>
      <c r="E2979" s="2" t="s">
        <v>77</v>
      </c>
    </row>
    <row r="2980">
      <c r="A2980" s="2" t="s">
        <v>2408</v>
      </c>
      <c r="B2980" s="2" t="s">
        <v>2792</v>
      </c>
      <c r="C2980" s="2" t="s">
        <v>3380</v>
      </c>
      <c r="D2980" s="3" t="str">
        <f>HYPERLINK("https://12go.asia/en/travel/new-delhi/gandhidham-bg", "12Go Link")</f>
        <v>12Go Link</v>
      </c>
      <c r="E2980" s="2" t="s">
        <v>77</v>
      </c>
    </row>
    <row r="2981">
      <c r="A2981" s="2" t="s">
        <v>2408</v>
      </c>
      <c r="B2981" s="2" t="s">
        <v>2711</v>
      </c>
      <c r="C2981" s="2" t="s">
        <v>3381</v>
      </c>
      <c r="D2981" s="3" t="str">
        <f>HYPERLINK("https://12go.asia/en/travel/new-delhi/garwa-road", "12Go Link")</f>
        <v>12Go Link</v>
      </c>
      <c r="E2981" s="2" t="s">
        <v>77</v>
      </c>
    </row>
    <row r="2982">
      <c r="A2982" s="2" t="s">
        <v>2408</v>
      </c>
      <c r="B2982" s="2" t="s">
        <v>3382</v>
      </c>
      <c r="C2982" s="2" t="s">
        <v>3383</v>
      </c>
      <c r="D2982" s="3" t="str">
        <f>HYPERLINK("https://12go.asia/en/travel/new-delhi/gauriganj", "12Go Link")</f>
        <v>12Go Link</v>
      </c>
      <c r="E2982" s="2" t="s">
        <v>77</v>
      </c>
    </row>
    <row r="2983">
      <c r="A2983" s="2" t="s">
        <v>2408</v>
      </c>
      <c r="B2983" s="2" t="s">
        <v>3384</v>
      </c>
      <c r="C2983" s="2" t="s">
        <v>3385</v>
      </c>
      <c r="D2983" s="3" t="str">
        <f>HYPERLINK("https://12go.asia/en/travel/new-delhi/kokrajhar", "12Go Link")</f>
        <v>12Go Link</v>
      </c>
      <c r="E2983" s="2" t="s">
        <v>77</v>
      </c>
    </row>
    <row r="2984">
      <c r="A2984" s="2" t="s">
        <v>2408</v>
      </c>
      <c r="B2984" s="2" t="s">
        <v>3386</v>
      </c>
      <c r="C2984" s="2" t="s">
        <v>3387</v>
      </c>
      <c r="D2984" s="3" t="str">
        <f>HYPERLINK("https://12go.asia/en/travel/new-delhi/lakheri", "12Go Link")</f>
        <v>12Go Link</v>
      </c>
      <c r="E2984" s="2" t="s">
        <v>77</v>
      </c>
    </row>
    <row r="2985">
      <c r="A2985" s="2" t="s">
        <v>2408</v>
      </c>
      <c r="B2985" s="2" t="s">
        <v>3388</v>
      </c>
      <c r="C2985" s="2" t="s">
        <v>3389</v>
      </c>
      <c r="D2985" s="3" t="str">
        <f>HYPERLINK("https://12go.asia/en/travel/new-delhi/makrana", "12Go Link")</f>
        <v>12Go Link</v>
      </c>
      <c r="E2985" s="2" t="s">
        <v>77</v>
      </c>
    </row>
    <row r="2986">
      <c r="A2986" s="2" t="s">
        <v>2408</v>
      </c>
      <c r="B2986" s="2" t="s">
        <v>2500</v>
      </c>
      <c r="C2986" s="2" t="s">
        <v>3390</v>
      </c>
      <c r="D2986" s="3" t="str">
        <f>HYPERLINK("https://12go.asia/en/travel/new-delhi/mankapur", "12Go Link")</f>
        <v>12Go Link</v>
      </c>
      <c r="E2986" s="2" t="s">
        <v>77</v>
      </c>
    </row>
    <row r="2987">
      <c r="A2987" s="2" t="s">
        <v>2408</v>
      </c>
      <c r="B2987" s="2" t="s">
        <v>2721</v>
      </c>
      <c r="C2987" s="2" t="s">
        <v>3391</v>
      </c>
      <c r="D2987" s="3" t="str">
        <f>HYPERLINK("https://12go.asia/en/travel/new-delhi/new-bongaigaon", "12Go Link")</f>
        <v>12Go Link</v>
      </c>
      <c r="E2987" s="2" t="s">
        <v>77</v>
      </c>
    </row>
    <row r="2988">
      <c r="A2988" s="2" t="s">
        <v>2408</v>
      </c>
      <c r="B2988" s="2" t="s">
        <v>3392</v>
      </c>
      <c r="C2988" s="2" t="s">
        <v>3393</v>
      </c>
      <c r="D2988" s="3" t="str">
        <f>HYPERLINK("https://12go.asia/en/travel/new-delhi/phulera", "12Go Link")</f>
        <v>12Go Link</v>
      </c>
      <c r="E2988" s="2" t="s">
        <v>77</v>
      </c>
    </row>
    <row r="2989">
      <c r="A2989" s="2" t="s">
        <v>2408</v>
      </c>
      <c r="B2989" s="2" t="s">
        <v>3298</v>
      </c>
      <c r="C2989" s="2" t="s">
        <v>3394</v>
      </c>
      <c r="D2989" s="3" t="str">
        <f>HYPERLINK("https://12go.asia/en/travel/new-delhi/kot-kapura", "12Go Link")</f>
        <v>12Go Link</v>
      </c>
      <c r="E2989" s="2" t="s">
        <v>77</v>
      </c>
    </row>
    <row r="2990">
      <c r="A2990" s="2" t="s">
        <v>2408</v>
      </c>
      <c r="B2990" s="2" t="s">
        <v>3369</v>
      </c>
      <c r="C2990" s="2" t="s">
        <v>3395</v>
      </c>
      <c r="D2990" s="3" t="str">
        <f>HYPERLINK("https://12go.asia/en/travel/new-delhi/viramgam", "12Go Link")</f>
        <v>12Go Link</v>
      </c>
      <c r="E2990" s="2" t="s">
        <v>77</v>
      </c>
    </row>
    <row r="2991">
      <c r="A2991" s="2" t="s">
        <v>2408</v>
      </c>
      <c r="B2991" s="2" t="s">
        <v>2740</v>
      </c>
      <c r="C2991" s="2" t="s">
        <v>3396</v>
      </c>
      <c r="D2991" s="3" t="str">
        <f>HYPERLINK("https://12go.asia/en/travel/new-delhi/vridhachalam", "12Go Link")</f>
        <v>12Go Link</v>
      </c>
      <c r="E2991" s="2" t="s">
        <v>77</v>
      </c>
    </row>
    <row r="2992">
      <c r="A2992" s="2" t="s">
        <v>3397</v>
      </c>
      <c r="B2992" s="2" t="s">
        <v>3134</v>
      </c>
      <c r="C2992" s="2" t="s">
        <v>3398</v>
      </c>
      <c r="D2992" s="3" t="str">
        <f>HYPERLINK("https://12go.asia/en/travel/nidadavolu-junction/duvvada", "12Go Link")</f>
        <v>12Go Link</v>
      </c>
      <c r="E2992" s="2" t="s">
        <v>77</v>
      </c>
    </row>
    <row r="2993">
      <c r="A2993" s="2" t="s">
        <v>3397</v>
      </c>
      <c r="B2993" s="2" t="s">
        <v>3134</v>
      </c>
      <c r="C2993" s="2" t="s">
        <v>3399</v>
      </c>
      <c r="D2993" s="3" t="str">
        <f>HYPERLINK("https://12go.asia/en/travel/nidadavolu/duvvada", "12Go Link")</f>
        <v>12Go Link</v>
      </c>
      <c r="E2993" s="2" t="s">
        <v>77</v>
      </c>
    </row>
    <row r="2994">
      <c r="A2994" s="2" t="s">
        <v>3400</v>
      </c>
      <c r="B2994" s="2" t="s">
        <v>3401</v>
      </c>
      <c r="C2994" s="2" t="s">
        <v>3402</v>
      </c>
      <c r="D2994" s="3" t="str">
        <f>HYPERLINK("https://12go.asia/en/travel/noida/mahoba", "12Go Link")</f>
        <v>12Go Link</v>
      </c>
      <c r="E2994" s="2" t="s">
        <v>77</v>
      </c>
    </row>
    <row r="2995">
      <c r="A2995" s="2" t="s">
        <v>3403</v>
      </c>
      <c r="B2995" s="2" t="s">
        <v>3404</v>
      </c>
      <c r="C2995" s="2" t="s">
        <v>3405</v>
      </c>
      <c r="D2995" s="3" t="str">
        <f>HYPERLINK("https://12go.asia/en/travel/okha/nathdwara", "12Go Link")</f>
        <v>12Go Link</v>
      </c>
      <c r="E2995" s="2" t="s">
        <v>77</v>
      </c>
    </row>
    <row r="2996">
      <c r="A2996" s="2" t="s">
        <v>2299</v>
      </c>
      <c r="B2996" s="2" t="s">
        <v>3017</v>
      </c>
      <c r="C2996" s="2" t="s">
        <v>3406</v>
      </c>
      <c r="D2996" s="3" t="str">
        <f>HYPERLINK("https://12go.asia/en/travel/ongole/puducherry", "12Go Link")</f>
        <v>12Go Link</v>
      </c>
      <c r="E2996" s="2" t="s">
        <v>25</v>
      </c>
    </row>
    <row r="2997">
      <c r="A2997" s="2" t="s">
        <v>3407</v>
      </c>
      <c r="B2997" s="2" t="s">
        <v>3054</v>
      </c>
      <c r="C2997" s="2" t="s">
        <v>3408</v>
      </c>
      <c r="D2997" s="3" t="str">
        <f>HYPERLINK("https://12go.asia/en/travel/osmanabad/pune-jn", "12Go Link")</f>
        <v>12Go Link</v>
      </c>
      <c r="E2997" s="2" t="s">
        <v>77</v>
      </c>
    </row>
    <row r="2998">
      <c r="A2998" s="2" t="s">
        <v>3407</v>
      </c>
      <c r="B2998" s="2" t="s">
        <v>2827</v>
      </c>
      <c r="C2998" s="2" t="s">
        <v>3409</v>
      </c>
      <c r="D2998" s="3" t="str">
        <f>HYPERLINK("https://12go.asia/en/travel/osmanabad/secunderabad", "12Go Link")</f>
        <v>12Go Link</v>
      </c>
      <c r="E2998" s="2" t="s">
        <v>77</v>
      </c>
    </row>
    <row r="2999">
      <c r="A2999" s="2" t="s">
        <v>3407</v>
      </c>
      <c r="B2999" s="2" t="s">
        <v>2641</v>
      </c>
      <c r="C2999" s="2" t="s">
        <v>3410</v>
      </c>
      <c r="D2999" s="3" t="str">
        <f>HYPERLINK("https://12go.asia/en/travel/osmanabad/telangana", "12Go Link")</f>
        <v>12Go Link</v>
      </c>
      <c r="E2999" s="2" t="s">
        <v>77</v>
      </c>
    </row>
    <row r="3000">
      <c r="A3000" s="2" t="s">
        <v>2439</v>
      </c>
      <c r="B3000" s="2" t="s">
        <v>2428</v>
      </c>
      <c r="C3000" s="2" t="s">
        <v>3411</v>
      </c>
      <c r="D3000" s="3" t="str">
        <f>HYPERLINK("https://12go.asia/en/travel/palakkad/varkala", "12Go Link")</f>
        <v>12Go Link</v>
      </c>
      <c r="E3000" s="2" t="s">
        <v>77</v>
      </c>
    </row>
    <row r="3001">
      <c r="A3001" s="2" t="s">
        <v>3412</v>
      </c>
      <c r="B3001" s="2" t="s">
        <v>2683</v>
      </c>
      <c r="C3001" s="2" t="s">
        <v>3413</v>
      </c>
      <c r="D3001" s="3" t="str">
        <f>HYPERLINK("https://12go.asia/en/travel/palakollu/lingampalli", "12Go Link")</f>
        <v>12Go Link</v>
      </c>
      <c r="E3001" s="2" t="s">
        <v>77</v>
      </c>
    </row>
    <row r="3002">
      <c r="A3002" s="2" t="s">
        <v>3414</v>
      </c>
      <c r="B3002" s="2" t="s">
        <v>2782</v>
      </c>
      <c r="C3002" s="2" t="s">
        <v>3415</v>
      </c>
      <c r="D3002" s="3" t="str">
        <f>HYPERLINK("https://12go.asia/en/travel/palani/tamil-nadu", "12Go Link")</f>
        <v>12Go Link</v>
      </c>
      <c r="E3002" s="2" t="s">
        <v>77</v>
      </c>
    </row>
    <row r="3003">
      <c r="A3003" s="2" t="s">
        <v>3416</v>
      </c>
      <c r="B3003" s="2" t="s">
        <v>2707</v>
      </c>
      <c r="C3003" s="2" t="s">
        <v>3417</v>
      </c>
      <c r="D3003" s="3" t="str">
        <f>HYPERLINK("https://12go.asia/en/travel/palasa/balasore", "12Go Link")</f>
        <v>12Go Link</v>
      </c>
      <c r="E3003" s="2" t="s">
        <v>77</v>
      </c>
    </row>
    <row r="3004">
      <c r="A3004" s="2" t="s">
        <v>3416</v>
      </c>
      <c r="B3004" s="2" t="s">
        <v>2639</v>
      </c>
      <c r="C3004" s="2" t="s">
        <v>3418</v>
      </c>
      <c r="D3004" s="3" t="str">
        <f>HYPERLINK("https://12go.asia/en/travel/palasa/chandipur", "12Go Link")</f>
        <v>12Go Link</v>
      </c>
      <c r="E3004" s="2" t="s">
        <v>77</v>
      </c>
    </row>
    <row r="3005">
      <c r="A3005" s="2" t="s">
        <v>3416</v>
      </c>
      <c r="B3005" s="2" t="s">
        <v>3134</v>
      </c>
      <c r="C3005" s="2" t="s">
        <v>3419</v>
      </c>
      <c r="D3005" s="3" t="str">
        <f>HYPERLINK("https://12go.asia/en/travel/palasa/duvvada", "12Go Link")</f>
        <v>12Go Link</v>
      </c>
      <c r="E3005" s="2" t="s">
        <v>77</v>
      </c>
    </row>
    <row r="3006">
      <c r="A3006" s="2" t="s">
        <v>3420</v>
      </c>
      <c r="B3006" s="2" t="s">
        <v>2700</v>
      </c>
      <c r="C3006" s="2" t="s">
        <v>3421</v>
      </c>
      <c r="D3006" s="3" t="str">
        <f>HYPERLINK("https://12go.asia/en/travel/pandavapura/karnataka", "12Go Link")</f>
        <v>12Go Link</v>
      </c>
      <c r="E3006" s="2" t="s">
        <v>77</v>
      </c>
    </row>
    <row r="3007">
      <c r="A3007" s="2" t="s">
        <v>3422</v>
      </c>
      <c r="B3007" s="2" t="s">
        <v>2516</v>
      </c>
      <c r="C3007" s="2" t="s">
        <v>3423</v>
      </c>
      <c r="D3007" s="3" t="str">
        <f>HYPERLINK("https://12go.asia/en/travel/pandharpur/yesvantpur", "12Go Link")</f>
        <v>12Go Link</v>
      </c>
      <c r="E3007" s="2" t="s">
        <v>77</v>
      </c>
    </row>
    <row r="3008">
      <c r="A3008" s="2" t="s">
        <v>3422</v>
      </c>
      <c r="B3008" s="2" t="s">
        <v>2700</v>
      </c>
      <c r="C3008" s="2" t="s">
        <v>3424</v>
      </c>
      <c r="D3008" s="3" t="str">
        <f>HYPERLINK("https://12go.asia/en/travel/pandharpur/karnataka", "12Go Link")</f>
        <v>12Go Link</v>
      </c>
      <c r="E3008" s="2" t="s">
        <v>77</v>
      </c>
    </row>
    <row r="3009">
      <c r="A3009" s="2" t="s">
        <v>3363</v>
      </c>
      <c r="B3009" s="2" t="s">
        <v>3182</v>
      </c>
      <c r="C3009" s="2" t="s">
        <v>3425</v>
      </c>
      <c r="D3009" s="3" t="str">
        <f>HYPERLINK("https://12go.asia/en/travel/panipat-junction/kurukshetra-junction", "12Go Link")</f>
        <v>12Go Link</v>
      </c>
      <c r="E3009" s="2" t="s">
        <v>77</v>
      </c>
    </row>
    <row r="3010">
      <c r="A3010" s="2" t="s">
        <v>3363</v>
      </c>
      <c r="B3010" s="2" t="s">
        <v>3182</v>
      </c>
      <c r="C3010" s="2" t="s">
        <v>3426</v>
      </c>
      <c r="D3010" s="3" t="str">
        <f>HYPERLINK("https://12go.asia/en/travel/panipat/kurukshetra", "12Go Link")</f>
        <v>12Go Link</v>
      </c>
      <c r="E3010" s="2" t="s">
        <v>77</v>
      </c>
    </row>
    <row r="3011">
      <c r="A3011" s="2" t="s">
        <v>3363</v>
      </c>
      <c r="B3011" s="2" t="s">
        <v>3054</v>
      </c>
      <c r="C3011" s="2" t="s">
        <v>3427</v>
      </c>
      <c r="D3011" s="3" t="str">
        <f>HYPERLINK("https://12go.asia/en/travel/panipat-junction/pune-jn", "12Go Link")</f>
        <v>12Go Link</v>
      </c>
      <c r="E3011" s="2" t="s">
        <v>77</v>
      </c>
    </row>
    <row r="3012">
      <c r="A3012" s="2" t="s">
        <v>3363</v>
      </c>
      <c r="B3012" s="2" t="s">
        <v>3054</v>
      </c>
      <c r="C3012" s="2" t="s">
        <v>3428</v>
      </c>
      <c r="D3012" s="3" t="str">
        <f>HYPERLINK("https://12go.asia/en/travel/panipat/pune", "12Go Link")</f>
        <v>12Go Link</v>
      </c>
      <c r="E3012" s="2" t="s">
        <v>77</v>
      </c>
    </row>
    <row r="3013">
      <c r="A3013" s="2" t="s">
        <v>2689</v>
      </c>
      <c r="B3013" s="2" t="s">
        <v>3429</v>
      </c>
      <c r="C3013" s="2" t="s">
        <v>3430</v>
      </c>
      <c r="D3013" s="3" t="str">
        <f>HYPERLINK("https://12go.asia/en/travel/panvel/ankola", "12Go Link")</f>
        <v>12Go Link</v>
      </c>
      <c r="E3013" s="2" t="s">
        <v>77</v>
      </c>
    </row>
    <row r="3014">
      <c r="A3014" s="2" t="s">
        <v>2689</v>
      </c>
      <c r="B3014" s="2" t="s">
        <v>3431</v>
      </c>
      <c r="C3014" s="2" t="s">
        <v>3432</v>
      </c>
      <c r="D3014" s="3" t="str">
        <f>HYPERLINK("https://12go.asia/en/travel/panvel/barshi", "12Go Link")</f>
        <v>12Go Link</v>
      </c>
      <c r="E3014" s="2" t="s">
        <v>77</v>
      </c>
    </row>
    <row r="3015">
      <c r="A3015" s="2" t="s">
        <v>2689</v>
      </c>
      <c r="B3015" s="2" t="s">
        <v>3431</v>
      </c>
      <c r="C3015" s="2" t="s">
        <v>3433</v>
      </c>
      <c r="D3015" s="3" t="str">
        <f>HYPERLINK("https://12go.asia/en/travel/panvel/barsi-town", "12Go Link")</f>
        <v>12Go Link</v>
      </c>
      <c r="E3015" s="2" t="s">
        <v>77</v>
      </c>
    </row>
    <row r="3016">
      <c r="A3016" s="2" t="s">
        <v>2689</v>
      </c>
      <c r="B3016" s="2" t="s">
        <v>2776</v>
      </c>
      <c r="C3016" s="2" t="s">
        <v>3434</v>
      </c>
      <c r="D3016" s="3" t="str">
        <f>HYPERLINK("https://12go.asia/en/travel/panvel/durg", "12Go Link")</f>
        <v>12Go Link</v>
      </c>
      <c r="E3016" s="2" t="s">
        <v>77</v>
      </c>
    </row>
    <row r="3017">
      <c r="A3017" s="2" t="s">
        <v>2689</v>
      </c>
      <c r="B3017" s="2" t="s">
        <v>2570</v>
      </c>
      <c r="C3017" s="2" t="s">
        <v>3435</v>
      </c>
      <c r="D3017" s="3" t="str">
        <f>HYPERLINK("https://12go.asia/en/travel/panvel/abu-road", "12Go Link")</f>
        <v>12Go Link</v>
      </c>
      <c r="E3017" s="2" t="s">
        <v>77</v>
      </c>
    </row>
    <row r="3018">
      <c r="A3018" s="2" t="s">
        <v>2689</v>
      </c>
      <c r="B3018" s="2" t="s">
        <v>2570</v>
      </c>
      <c r="C3018" s="2" t="s">
        <v>3436</v>
      </c>
      <c r="D3018" s="3" t="str">
        <f>HYPERLINK("https://12go.asia/en/travel/panvel/mount-abu", "12Go Link")</f>
        <v>12Go Link</v>
      </c>
      <c r="E3018" s="2" t="s">
        <v>77</v>
      </c>
    </row>
    <row r="3019">
      <c r="A3019" s="2" t="s">
        <v>2689</v>
      </c>
      <c r="B3019" s="2" t="s">
        <v>2607</v>
      </c>
      <c r="C3019" s="2" t="s">
        <v>3437</v>
      </c>
      <c r="D3019" s="3" t="str">
        <f>HYPERLINK("https://12go.asia/en/travel/panvel/pali-marwar", "12Go Link")</f>
        <v>12Go Link</v>
      </c>
      <c r="E3019" s="2" t="s">
        <v>77</v>
      </c>
    </row>
    <row r="3020">
      <c r="A3020" s="2" t="s">
        <v>2689</v>
      </c>
      <c r="B3020" s="2" t="s">
        <v>2607</v>
      </c>
      <c r="C3020" s="2" t="s">
        <v>3438</v>
      </c>
      <c r="D3020" s="3" t="str">
        <f>HYPERLINK("https://12go.asia/en/travel/panvel/pali-rajasthan", "12Go Link")</f>
        <v>12Go Link</v>
      </c>
      <c r="E3020" s="2" t="s">
        <v>77</v>
      </c>
    </row>
    <row r="3021">
      <c r="A3021" s="2" t="s">
        <v>3439</v>
      </c>
      <c r="B3021" s="2" t="s">
        <v>2289</v>
      </c>
      <c r="C3021" s="2" t="s">
        <v>3440</v>
      </c>
      <c r="D3021" s="3" t="str">
        <f>HYPERLINK("https://12go.asia/en/travel/parasnath/delhi", "12Go Link")</f>
        <v>12Go Link</v>
      </c>
      <c r="E3021" s="2" t="s">
        <v>77</v>
      </c>
    </row>
    <row r="3022">
      <c r="A3022" s="2" t="s">
        <v>3439</v>
      </c>
      <c r="B3022" s="2" t="s">
        <v>2289</v>
      </c>
      <c r="C3022" s="2" t="s">
        <v>3441</v>
      </c>
      <c r="D3022" s="3" t="str">
        <f>HYPERLINK("https://12go.asia/en/travel/parasnath/sabzi-mandi", "12Go Link")</f>
        <v>12Go Link</v>
      </c>
      <c r="E3022" s="2" t="s">
        <v>77</v>
      </c>
    </row>
    <row r="3023">
      <c r="A3023" s="2" t="s">
        <v>3442</v>
      </c>
      <c r="B3023" s="2" t="s">
        <v>3443</v>
      </c>
      <c r="C3023" s="2" t="s">
        <v>3444</v>
      </c>
      <c r="D3023" s="3" t="str">
        <f>HYPERLINK("https://12go.asia/en/travel/pathankot-cantt/ambala-city", "12Go Link")</f>
        <v>12Go Link</v>
      </c>
      <c r="E3023" s="2" t="s">
        <v>77</v>
      </c>
    </row>
    <row r="3024">
      <c r="A3024" s="2" t="s">
        <v>3442</v>
      </c>
      <c r="B3024" s="2" t="s">
        <v>2606</v>
      </c>
      <c r="C3024" s="2" t="s">
        <v>3445</v>
      </c>
      <c r="D3024" s="3" t="str">
        <f>HYPERLINK("https://12go.asia/en/travel/pathankot-cantt/bandra-terminus", "12Go Link")</f>
        <v>12Go Link</v>
      </c>
      <c r="E3024" s="2" t="s">
        <v>77</v>
      </c>
    </row>
    <row r="3025">
      <c r="A3025" s="2" t="s">
        <v>3442</v>
      </c>
      <c r="B3025" s="2" t="s">
        <v>2606</v>
      </c>
      <c r="C3025" s="2" t="s">
        <v>3446</v>
      </c>
      <c r="D3025" s="3" t="str">
        <f>HYPERLINK("https://12go.asia/en/travel/pathankot/borivali", "12Go Link")</f>
        <v>12Go Link</v>
      </c>
      <c r="E3025" s="2" t="s">
        <v>77</v>
      </c>
    </row>
    <row r="3026">
      <c r="A3026" s="2" t="s">
        <v>2302</v>
      </c>
      <c r="B3026" s="2" t="s">
        <v>3000</v>
      </c>
      <c r="C3026" s="2" t="s">
        <v>3447</v>
      </c>
      <c r="D3026" s="3" t="str">
        <f>HYPERLINK("https://12go.asia/en/travel/patiala/jodhpur", "12Go Link")</f>
        <v>12Go Link</v>
      </c>
      <c r="E3026" s="2" t="s">
        <v>77</v>
      </c>
    </row>
    <row r="3027">
      <c r="A3027" s="2" t="s">
        <v>2302</v>
      </c>
      <c r="B3027" s="2" t="s">
        <v>3000</v>
      </c>
      <c r="C3027" s="2" t="s">
        <v>3448</v>
      </c>
      <c r="D3027" s="3" t="str">
        <f>HYPERLINK("https://12go.asia/en/travel/patiala/jodhpur-jn", "12Go Link")</f>
        <v>12Go Link</v>
      </c>
      <c r="E3027" s="2" t="s">
        <v>77</v>
      </c>
    </row>
    <row r="3028">
      <c r="A3028" s="2" t="s">
        <v>2692</v>
      </c>
      <c r="B3028" s="2" t="s">
        <v>2815</v>
      </c>
      <c r="C3028" s="2" t="s">
        <v>3449</v>
      </c>
      <c r="D3028" s="3" t="str">
        <f>HYPERLINK("https://12go.asia/en/travel/patna-jn/bilaspur-jn", "12Go Link")</f>
        <v>12Go Link</v>
      </c>
      <c r="E3028" s="2" t="s">
        <v>77</v>
      </c>
    </row>
    <row r="3029">
      <c r="A3029" s="2" t="s">
        <v>2692</v>
      </c>
      <c r="B3029" s="2" t="s">
        <v>2815</v>
      </c>
      <c r="C3029" s="2" t="s">
        <v>3450</v>
      </c>
      <c r="D3029" s="3" t="str">
        <f>HYPERLINK("https://12go.asia/en/travel/patna/bilaspur", "12Go Link")</f>
        <v>12Go Link</v>
      </c>
      <c r="E3029" s="2" t="s">
        <v>77</v>
      </c>
    </row>
    <row r="3030">
      <c r="A3030" s="2" t="s">
        <v>2692</v>
      </c>
      <c r="B3030" s="2" t="s">
        <v>2666</v>
      </c>
      <c r="C3030" s="2" t="s">
        <v>3451</v>
      </c>
      <c r="D3030" s="3" t="str">
        <f>HYPERLINK("https://12go.asia/en/travel/patna-jn/chhapra", "12Go Link")</f>
        <v>12Go Link</v>
      </c>
      <c r="E3030" s="2" t="s">
        <v>77</v>
      </c>
    </row>
    <row r="3031">
      <c r="A3031" s="2" t="s">
        <v>2692</v>
      </c>
      <c r="B3031" s="2" t="s">
        <v>2666</v>
      </c>
      <c r="C3031" s="2" t="s">
        <v>3452</v>
      </c>
      <c r="D3031" s="3" t="str">
        <f>HYPERLINK("https://12go.asia/en/travel/patna/chhapra", "12Go Link")</f>
        <v>12Go Link</v>
      </c>
      <c r="E3031" s="2" t="s">
        <v>77</v>
      </c>
    </row>
    <row r="3032">
      <c r="A3032" s="2" t="s">
        <v>2692</v>
      </c>
      <c r="B3032" s="2" t="s">
        <v>3101</v>
      </c>
      <c r="C3032" s="2" t="s">
        <v>3453</v>
      </c>
      <c r="D3032" s="3" t="str">
        <f>HYPERLINK("https://12go.asia/en/travel/patna-jn/katpadi-junction", "12Go Link")</f>
        <v>12Go Link</v>
      </c>
      <c r="E3032" s="2" t="s">
        <v>77</v>
      </c>
    </row>
    <row r="3033">
      <c r="A3033" s="2" t="s">
        <v>2692</v>
      </c>
      <c r="B3033" s="2" t="s">
        <v>3101</v>
      </c>
      <c r="C3033" s="2" t="s">
        <v>3454</v>
      </c>
      <c r="D3033" s="3" t="str">
        <f>HYPERLINK("https://12go.asia/en/travel/patna/katpadi", "12Go Link")</f>
        <v>12Go Link</v>
      </c>
      <c r="E3033" s="2" t="s">
        <v>77</v>
      </c>
    </row>
    <row r="3034">
      <c r="A3034" s="2" t="s">
        <v>2692</v>
      </c>
      <c r="B3034" s="2" t="s">
        <v>2731</v>
      </c>
      <c r="C3034" s="2" t="s">
        <v>3455</v>
      </c>
      <c r="D3034" s="3" t="str">
        <f>HYPERLINK("https://12go.asia/en/travel/patna-jn/sahibganj-junction", "12Go Link")</f>
        <v>12Go Link</v>
      </c>
      <c r="E3034" s="2" t="s">
        <v>77</v>
      </c>
    </row>
    <row r="3035">
      <c r="A3035" s="2" t="s">
        <v>2692</v>
      </c>
      <c r="B3035" s="2" t="s">
        <v>2731</v>
      </c>
      <c r="C3035" s="2" t="s">
        <v>3456</v>
      </c>
      <c r="D3035" s="3" t="str">
        <f>HYPERLINK("https://12go.asia/en/travel/patna/sahibganj", "12Go Link")</f>
        <v>12Go Link</v>
      </c>
      <c r="E3035" s="2" t="s">
        <v>77</v>
      </c>
    </row>
    <row r="3036">
      <c r="A3036" s="2" t="s">
        <v>2692</v>
      </c>
      <c r="B3036" s="2" t="s">
        <v>2550</v>
      </c>
      <c r="C3036" s="2" t="s">
        <v>3457</v>
      </c>
      <c r="D3036" s="3" t="str">
        <f>HYPERLINK("https://12go.asia/en/travel/patna-jn/deen-dayal-upadhyaya-jn", "12Go Link")</f>
        <v>12Go Link</v>
      </c>
      <c r="E3036" s="2" t="s">
        <v>77</v>
      </c>
    </row>
    <row r="3037">
      <c r="A3037" s="2" t="s">
        <v>2692</v>
      </c>
      <c r="B3037" s="2" t="s">
        <v>3349</v>
      </c>
      <c r="C3037" s="2" t="s">
        <v>3458</v>
      </c>
      <c r="D3037" s="3" t="str">
        <f>HYPERLINK("https://12go.asia/en/travel/patna/vellore", "12Go Link")</f>
        <v>12Go Link</v>
      </c>
      <c r="E3037" s="2" t="s">
        <v>77</v>
      </c>
    </row>
    <row r="3038">
      <c r="A3038" s="2" t="s">
        <v>3459</v>
      </c>
      <c r="B3038" s="2" t="s">
        <v>2784</v>
      </c>
      <c r="C3038" s="2" t="s">
        <v>3460</v>
      </c>
      <c r="D3038" s="3" t="str">
        <f>HYPERLINK("https://12go.asia/en/travel/phagwara-junction/moradabad", "12Go Link")</f>
        <v>12Go Link</v>
      </c>
      <c r="E3038" s="2" t="s">
        <v>77</v>
      </c>
    </row>
    <row r="3039">
      <c r="A3039" s="2" t="s">
        <v>3459</v>
      </c>
      <c r="B3039" s="2" t="s">
        <v>2784</v>
      </c>
      <c r="C3039" s="2" t="s">
        <v>3461</v>
      </c>
      <c r="D3039" s="3" t="str">
        <f>HYPERLINK("https://12go.asia/en/travel/phagwara/moradabad", "12Go Link")</f>
        <v>12Go Link</v>
      </c>
      <c r="E3039" s="2" t="s">
        <v>77</v>
      </c>
    </row>
    <row r="3040">
      <c r="A3040" s="2" t="s">
        <v>3392</v>
      </c>
      <c r="B3040" s="2" t="s">
        <v>3462</v>
      </c>
      <c r="C3040" s="2" t="s">
        <v>3463</v>
      </c>
      <c r="D3040" s="3" t="str">
        <f>HYPERLINK("https://12go.asia/en/travel/phulera/gurgaon", "12Go Link")</f>
        <v>12Go Link</v>
      </c>
      <c r="E3040" s="2" t="s">
        <v>77</v>
      </c>
    </row>
    <row r="3041">
      <c r="A3041" s="2" t="s">
        <v>3464</v>
      </c>
      <c r="B3041" s="2" t="s">
        <v>3465</v>
      </c>
      <c r="C3041" s="2" t="s">
        <v>3466</v>
      </c>
      <c r="D3041" s="3" t="str">
        <f>HYPERLINK("https://12go.asia/en/travel/chinchvad/lonavala", "12Go Link")</f>
        <v>12Go Link</v>
      </c>
      <c r="E3041" s="2" t="s">
        <v>77</v>
      </c>
    </row>
    <row r="3042">
      <c r="A3042" s="2" t="s">
        <v>3464</v>
      </c>
      <c r="B3042" s="2" t="s">
        <v>3465</v>
      </c>
      <c r="C3042" s="2" t="s">
        <v>3467</v>
      </c>
      <c r="D3042" s="3" t="str">
        <f>HYPERLINK("https://12go.asia/en/travel/pimpri-chinchwad/lonavala", "12Go Link")</f>
        <v>12Go Link</v>
      </c>
      <c r="E3042" s="2" t="s">
        <v>77</v>
      </c>
    </row>
    <row r="3043">
      <c r="A3043" s="2" t="s">
        <v>2441</v>
      </c>
      <c r="B3043" s="2" t="s">
        <v>3134</v>
      </c>
      <c r="C3043" s="2" t="s">
        <v>3468</v>
      </c>
      <c r="D3043" s="3" t="str">
        <f>HYPERLINK("https://12go.asia/en/travel/podanur-junction/duvvada", "12Go Link")</f>
        <v>12Go Link</v>
      </c>
      <c r="E3043" s="2" t="s">
        <v>77</v>
      </c>
    </row>
    <row r="3044">
      <c r="A3044" s="2" t="s">
        <v>2441</v>
      </c>
      <c r="B3044" s="2" t="s">
        <v>3134</v>
      </c>
      <c r="C3044" s="2" t="s">
        <v>3469</v>
      </c>
      <c r="D3044" s="3" t="str">
        <f>HYPERLINK("https://12go.asia/en/travel/podanur/duvvada", "12Go Link")</f>
        <v>12Go Link</v>
      </c>
      <c r="E3044" s="2" t="s">
        <v>77</v>
      </c>
    </row>
    <row r="3045">
      <c r="A3045" s="2" t="s">
        <v>2441</v>
      </c>
      <c r="B3045" s="2" t="s">
        <v>2896</v>
      </c>
      <c r="C3045" s="2" t="s">
        <v>3470</v>
      </c>
      <c r="D3045" s="3" t="str">
        <f>HYPERLINK("https://12go.asia/en/travel/podanur-junction/visakhapatnam", "12Go Link")</f>
        <v>12Go Link</v>
      </c>
      <c r="E3045" s="2" t="s">
        <v>77</v>
      </c>
    </row>
    <row r="3046">
      <c r="A3046" s="2" t="s">
        <v>2441</v>
      </c>
      <c r="B3046" s="2" t="s">
        <v>2896</v>
      </c>
      <c r="C3046" s="2" t="s">
        <v>3471</v>
      </c>
      <c r="D3046" s="3" t="str">
        <f>HYPERLINK("https://12go.asia/en/travel/podanur/visakhapatnam", "12Go Link")</f>
        <v>12Go Link</v>
      </c>
      <c r="E3046" s="2" t="s">
        <v>77</v>
      </c>
    </row>
    <row r="3047">
      <c r="A3047" s="2" t="s">
        <v>3220</v>
      </c>
      <c r="B3047" s="2" t="s">
        <v>2746</v>
      </c>
      <c r="C3047" s="2" t="s">
        <v>3472</v>
      </c>
      <c r="D3047" s="3" t="str">
        <f>HYPERLINK("https://12go.asia/en/travel/pratapgarh/uttar-pradesh", "12Go Link")</f>
        <v>12Go Link</v>
      </c>
      <c r="E3047" s="2" t="s">
        <v>77</v>
      </c>
    </row>
    <row r="3048">
      <c r="A3048" s="2" t="s">
        <v>2377</v>
      </c>
      <c r="B3048" s="2" t="s">
        <v>2399</v>
      </c>
      <c r="C3048" s="2" t="s">
        <v>3473</v>
      </c>
      <c r="D3048" s="3" t="str">
        <f>HYPERLINK("https://12go.asia/en/travel/prayagraj-junction/amritsar-jn", "12Go Link")</f>
        <v>12Go Link</v>
      </c>
      <c r="E3048" s="2" t="s">
        <v>77</v>
      </c>
    </row>
    <row r="3049">
      <c r="A3049" s="2" t="s">
        <v>2377</v>
      </c>
      <c r="B3049" s="2" t="s">
        <v>2399</v>
      </c>
      <c r="C3049" s="2" t="s">
        <v>3474</v>
      </c>
      <c r="D3049" s="3" t="str">
        <f>HYPERLINK("https://12go.asia/en/travel/prayagraj/amritsar", "12Go Link")</f>
        <v>12Go Link</v>
      </c>
      <c r="E3049" s="2" t="s">
        <v>77</v>
      </c>
    </row>
    <row r="3050">
      <c r="A3050" s="2" t="s">
        <v>2377</v>
      </c>
      <c r="B3050" s="2" t="s">
        <v>3475</v>
      </c>
      <c r="C3050" s="2" t="s">
        <v>3476</v>
      </c>
      <c r="D3050" s="3" t="str">
        <f>HYPERLINK("https://12go.asia/en/travel/prayagraj-junction/chitrakot", "12Go Link")</f>
        <v>12Go Link</v>
      </c>
      <c r="E3050" s="2" t="s">
        <v>77</v>
      </c>
    </row>
    <row r="3051">
      <c r="A3051" s="2" t="s">
        <v>2377</v>
      </c>
      <c r="B3051" s="2" t="s">
        <v>2800</v>
      </c>
      <c r="C3051" s="2" t="s">
        <v>3477</v>
      </c>
      <c r="D3051" s="3" t="str">
        <f>HYPERLINK("https://12go.asia/en/travel/prayagraj-cheoki-jn/gaya-jn", "12Go Link")</f>
        <v>12Go Link</v>
      </c>
      <c r="E3051" s="2" t="s">
        <v>77</v>
      </c>
    </row>
    <row r="3052">
      <c r="A3052" s="2" t="s">
        <v>2377</v>
      </c>
      <c r="B3052" s="2" t="s">
        <v>2459</v>
      </c>
      <c r="C3052" s="2" t="s">
        <v>3478</v>
      </c>
      <c r="D3052" s="3" t="str">
        <f>HYPERLINK("https://12go.asia/en/travel/subedarganj/jaipur", "12Go Link")</f>
        <v>12Go Link</v>
      </c>
      <c r="E3052" s="2" t="s">
        <v>77</v>
      </c>
    </row>
    <row r="3053">
      <c r="A3053" s="2" t="s">
        <v>2377</v>
      </c>
      <c r="B3053" s="2" t="s">
        <v>2692</v>
      </c>
      <c r="C3053" s="2" t="s">
        <v>3479</v>
      </c>
      <c r="D3053" s="3" t="str">
        <f>HYPERLINK("https://12go.asia/en/travel/prayagraj-junction/rajendra-nagar", "12Go Link")</f>
        <v>12Go Link</v>
      </c>
      <c r="E3053" s="2" t="s">
        <v>77</v>
      </c>
    </row>
    <row r="3054">
      <c r="A3054" s="2" t="s">
        <v>2377</v>
      </c>
      <c r="B3054" s="2" t="s">
        <v>2377</v>
      </c>
      <c r="C3054" s="2" t="s">
        <v>3480</v>
      </c>
      <c r="D3054" s="3" t="str">
        <f>HYPERLINK("https://12go.asia/en/travel/prayag/prayagraj-junction", "12Go Link")</f>
        <v>12Go Link</v>
      </c>
      <c r="E3054" s="2" t="s">
        <v>77</v>
      </c>
    </row>
    <row r="3055">
      <c r="A3055" s="2" t="s">
        <v>2377</v>
      </c>
      <c r="B3055" s="2" t="s">
        <v>3210</v>
      </c>
      <c r="C3055" s="2" t="s">
        <v>3481</v>
      </c>
      <c r="D3055" s="3" t="str">
        <f>HYPERLINK("https://12go.asia/en/travel/prayagraj/rohtak", "12Go Link")</f>
        <v>12Go Link</v>
      </c>
      <c r="E3055" s="2" t="s">
        <v>77</v>
      </c>
    </row>
    <row r="3056">
      <c r="A3056" s="2" t="s">
        <v>2377</v>
      </c>
      <c r="B3056" s="2" t="s">
        <v>2777</v>
      </c>
      <c r="C3056" s="2" t="s">
        <v>3482</v>
      </c>
      <c r="D3056" s="3" t="str">
        <f>HYPERLINK("https://12go.asia/en/travel/prayagraj-junction/tatanagar", "12Go Link")</f>
        <v>12Go Link</v>
      </c>
      <c r="E3056" s="2" t="s">
        <v>77</v>
      </c>
    </row>
    <row r="3057">
      <c r="A3057" s="2" t="s">
        <v>2377</v>
      </c>
      <c r="B3057" s="2" t="s">
        <v>2777</v>
      </c>
      <c r="C3057" s="2" t="s">
        <v>3483</v>
      </c>
      <c r="D3057" s="3" t="str">
        <f>HYPERLINK("https://12go.asia/en/travel/prayagraj/tatanagar", "12Go Link")</f>
        <v>12Go Link</v>
      </c>
      <c r="E3057" s="2" t="s">
        <v>77</v>
      </c>
    </row>
    <row r="3058">
      <c r="A3058" s="2" t="s">
        <v>2377</v>
      </c>
      <c r="B3058" s="2" t="s">
        <v>2550</v>
      </c>
      <c r="C3058" s="2" t="s">
        <v>3484</v>
      </c>
      <c r="D3058" s="3" t="str">
        <f>HYPERLINK("https://12go.asia/en/travel/prayagraj-junction/deen-dayal-upadhyaya-jn", "12Go Link")</f>
        <v>12Go Link</v>
      </c>
      <c r="E3058" s="2" t="s">
        <v>77</v>
      </c>
    </row>
    <row r="3059">
      <c r="A3059" s="2" t="s">
        <v>3485</v>
      </c>
      <c r="B3059" s="2" t="s">
        <v>2447</v>
      </c>
      <c r="C3059" s="2" t="s">
        <v>3486</v>
      </c>
      <c r="D3059" s="3" t="str">
        <f>HYPERLINK("https://12go.asia/en/travel/pudukkottai/tambaram", "12Go Link")</f>
        <v>12Go Link</v>
      </c>
      <c r="E3059" s="2" t="s">
        <v>77</v>
      </c>
    </row>
    <row r="3060">
      <c r="A3060" s="2" t="s">
        <v>3054</v>
      </c>
      <c r="B3060" s="2" t="s">
        <v>74</v>
      </c>
      <c r="C3060" s="2" t="s">
        <v>3487</v>
      </c>
      <c r="D3060" s="3" t="str">
        <f>HYPERLINK("https://12go.asia/en/travel/pune-jn/broadmeadow", "12Go Link")</f>
        <v>12Go Link</v>
      </c>
      <c r="E3060" s="2" t="s">
        <v>77</v>
      </c>
    </row>
    <row r="3061">
      <c r="A3061" s="2" t="s">
        <v>3054</v>
      </c>
      <c r="B3061" s="2" t="s">
        <v>74</v>
      </c>
      <c r="C3061" s="2" t="s">
        <v>3488</v>
      </c>
      <c r="D3061" s="3" t="str">
        <f>HYPERLINK("https://12go.asia/en/travel/pune/newcastle-new-south-wales", "12Go Link")</f>
        <v>12Go Link</v>
      </c>
      <c r="E3061" s="2" t="s">
        <v>77</v>
      </c>
    </row>
    <row r="3062">
      <c r="A3062" s="2" t="s">
        <v>3054</v>
      </c>
      <c r="B3062" s="2" t="s">
        <v>2610</v>
      </c>
      <c r="C3062" s="2" t="s">
        <v>3489</v>
      </c>
      <c r="D3062" s="3" t="str">
        <f>HYPERLINK("https://12go.asia/en/travel/pune-jn/brahmapur", "12Go Link")</f>
        <v>12Go Link</v>
      </c>
      <c r="E3062" s="2" t="s">
        <v>77</v>
      </c>
    </row>
    <row r="3063">
      <c r="A3063" s="2" t="s">
        <v>3054</v>
      </c>
      <c r="B3063" s="2" t="s">
        <v>2610</v>
      </c>
      <c r="C3063" s="2" t="s">
        <v>3490</v>
      </c>
      <c r="D3063" s="3" t="str">
        <f>HYPERLINK("https://12go.asia/en/travel/pune/brahmapur", "12Go Link")</f>
        <v>12Go Link</v>
      </c>
      <c r="E3063" s="2" t="s">
        <v>77</v>
      </c>
    </row>
    <row r="3064">
      <c r="A3064" s="2" t="s">
        <v>3054</v>
      </c>
      <c r="B3064" s="2" t="s">
        <v>2825</v>
      </c>
      <c r="C3064" s="2" t="s">
        <v>3491</v>
      </c>
      <c r="D3064" s="3" t="str">
        <f>HYPERLINK("https://12go.asia/en/travel/pune/gopalpur-odisha", "12Go Link")</f>
        <v>12Go Link</v>
      </c>
      <c r="E3064" s="2" t="s">
        <v>77</v>
      </c>
    </row>
    <row r="3065">
      <c r="A3065" s="2" t="s">
        <v>3054</v>
      </c>
      <c r="B3065" s="2" t="s">
        <v>2716</v>
      </c>
      <c r="C3065" s="2" t="s">
        <v>3492</v>
      </c>
      <c r="D3065" s="3" t="str">
        <f>HYPERLINK("https://12go.asia/en/travel/pune-jn/cuddapah", "12Go Link")</f>
        <v>12Go Link</v>
      </c>
      <c r="E3065" s="2" t="s">
        <v>77</v>
      </c>
    </row>
    <row r="3066">
      <c r="A3066" s="2" t="s">
        <v>3054</v>
      </c>
      <c r="B3066" s="2" t="s">
        <v>2716</v>
      </c>
      <c r="C3066" s="2" t="s">
        <v>3493</v>
      </c>
      <c r="D3066" s="3" t="str">
        <f>HYPERLINK("https://12go.asia/en/travel/pune/kadapa", "12Go Link")</f>
        <v>12Go Link</v>
      </c>
      <c r="E3066" s="2" t="s">
        <v>77</v>
      </c>
    </row>
    <row r="3067">
      <c r="A3067" s="2" t="s">
        <v>3054</v>
      </c>
      <c r="B3067" s="2" t="s">
        <v>2277</v>
      </c>
      <c r="C3067" s="2" t="s">
        <v>3494</v>
      </c>
      <c r="D3067" s="3" t="str">
        <f>HYPERLINK("https://12go.asia/en/travel/pune/sikandra-agra", "12Go Link")</f>
        <v>12Go Link</v>
      </c>
      <c r="E3067" s="2" t="s">
        <v>77</v>
      </c>
    </row>
    <row r="3068">
      <c r="A3068" s="2" t="s">
        <v>3298</v>
      </c>
      <c r="B3068" s="2" t="s">
        <v>2282</v>
      </c>
      <c r="C3068" s="2" t="s">
        <v>3495</v>
      </c>
      <c r="D3068" s="3" t="str">
        <f>HYPERLINK("https://12go.asia/en/travel/firozpur-cant/ayodhya", "12Go Link")</f>
        <v>12Go Link</v>
      </c>
      <c r="E3068" s="2" t="s">
        <v>77</v>
      </c>
    </row>
    <row r="3069">
      <c r="A3069" s="2" t="s">
        <v>3298</v>
      </c>
      <c r="B3069" s="2" t="s">
        <v>2289</v>
      </c>
      <c r="C3069" s="2" t="s">
        <v>3496</v>
      </c>
      <c r="D3069" s="3" t="str">
        <f>HYPERLINK("https://12go.asia/en/travel/rampura-phul/delhi", "12Go Link")</f>
        <v>12Go Link</v>
      </c>
      <c r="E3069" s="2" t="s">
        <v>77</v>
      </c>
    </row>
    <row r="3070">
      <c r="A3070" s="2" t="s">
        <v>3298</v>
      </c>
      <c r="B3070" s="2" t="s">
        <v>2289</v>
      </c>
      <c r="C3070" s="2" t="s">
        <v>3497</v>
      </c>
      <c r="D3070" s="3" t="str">
        <f>HYPERLINK("https://12go.asia/en/travel/rampura-phul/delhi-sarai-rohilla", "12Go Link")</f>
        <v>12Go Link</v>
      </c>
      <c r="E3070" s="2" t="s">
        <v>77</v>
      </c>
    </row>
    <row r="3071">
      <c r="A3071" s="2" t="s">
        <v>3298</v>
      </c>
      <c r="B3071" s="2" t="s">
        <v>2400</v>
      </c>
      <c r="C3071" s="2" t="s">
        <v>3498</v>
      </c>
      <c r="D3071" s="3" t="str">
        <f>HYPERLINK("https://12go.asia/en/travel/punjab/durgapur", "12Go Link")</f>
        <v>12Go Link</v>
      </c>
      <c r="E3071" s="2" t="s">
        <v>77</v>
      </c>
    </row>
    <row r="3072">
      <c r="A3072" s="2" t="s">
        <v>3298</v>
      </c>
      <c r="B3072" s="2" t="s">
        <v>2291</v>
      </c>
      <c r="C3072" s="2" t="s">
        <v>3499</v>
      </c>
      <c r="D3072" s="3" t="str">
        <f>HYPERLINK("https://12go.asia/en/travel/firozpur-cant/ayodhya-cantt", "12Go Link")</f>
        <v>12Go Link</v>
      </c>
      <c r="E3072" s="2" t="s">
        <v>77</v>
      </c>
    </row>
    <row r="3073">
      <c r="A3073" s="2" t="s">
        <v>3298</v>
      </c>
      <c r="B3073" s="2" t="s">
        <v>2750</v>
      </c>
      <c r="C3073" s="2" t="s">
        <v>3500</v>
      </c>
      <c r="D3073" s="3" t="str">
        <f>HYPERLINK("https://12go.asia/en/travel/punjab/madhya-pradesh", "12Go Link")</f>
        <v>12Go Link</v>
      </c>
      <c r="E3073" s="2" t="s">
        <v>77</v>
      </c>
    </row>
    <row r="3074">
      <c r="A3074" s="2" t="s">
        <v>3298</v>
      </c>
      <c r="B3074" s="2" t="s">
        <v>2703</v>
      </c>
      <c r="C3074" s="2" t="s">
        <v>3501</v>
      </c>
      <c r="D3074" s="3" t="str">
        <f>HYPERLINK("https://12go.asia/en/travel/punjab/mughalsarai", "12Go Link")</f>
        <v>12Go Link</v>
      </c>
      <c r="E3074" s="2" t="s">
        <v>77</v>
      </c>
    </row>
    <row r="3075">
      <c r="A3075" s="2" t="s">
        <v>3298</v>
      </c>
      <c r="B3075" s="2" t="s">
        <v>2405</v>
      </c>
      <c r="C3075" s="2" t="s">
        <v>3502</v>
      </c>
      <c r="D3075" s="3" t="str">
        <f>HYPERLINK("https://12go.asia/en/travel/punjab/najibabad", "12Go Link")</f>
        <v>12Go Link</v>
      </c>
      <c r="E3075" s="2" t="s">
        <v>77</v>
      </c>
    </row>
    <row r="3076">
      <c r="A3076" s="2" t="s">
        <v>3298</v>
      </c>
      <c r="B3076" s="2" t="s">
        <v>2277</v>
      </c>
      <c r="C3076" s="2" t="s">
        <v>3503</v>
      </c>
      <c r="D3076" s="3" t="str">
        <f>HYPERLINK("https://12go.asia/en/travel/punjab/sikandra-agra", "12Go Link")</f>
        <v>12Go Link</v>
      </c>
      <c r="E3076" s="2" t="s">
        <v>77</v>
      </c>
    </row>
    <row r="3077">
      <c r="A3077" s="2" t="s">
        <v>3298</v>
      </c>
      <c r="B3077" s="2" t="s">
        <v>3504</v>
      </c>
      <c r="C3077" s="2" t="s">
        <v>3505</v>
      </c>
      <c r="D3077" s="3" t="str">
        <f>HYPERLINK("https://12go.asia/en/travel/punjab/bangkok-airport", "12Go Link")</f>
        <v>12Go Link</v>
      </c>
      <c r="E3077" s="2" t="s">
        <v>60</v>
      </c>
    </row>
    <row r="3078">
      <c r="A3078" s="2" t="s">
        <v>3298</v>
      </c>
      <c r="B3078" s="2" t="s">
        <v>3506</v>
      </c>
      <c r="C3078" s="2" t="s">
        <v>3507</v>
      </c>
      <c r="D3078" s="3" t="str">
        <f>HYPERLINK("https://12go.asia/en/travel/punjab/rangsit", "12Go Link")</f>
        <v>12Go Link</v>
      </c>
      <c r="E3078" s="2" t="s">
        <v>60</v>
      </c>
    </row>
    <row r="3079">
      <c r="A3079" s="2" t="s">
        <v>3508</v>
      </c>
      <c r="B3079" s="2" t="s">
        <v>2825</v>
      </c>
      <c r="C3079" s="2" t="s">
        <v>3509</v>
      </c>
      <c r="D3079" s="3" t="str">
        <f>HYPERLINK("https://12go.asia/en/travel/puri/gopalpur-odisha", "12Go Link")</f>
        <v>12Go Link</v>
      </c>
      <c r="E3079" s="2" t="s">
        <v>77</v>
      </c>
    </row>
    <row r="3080">
      <c r="A3080" s="2" t="s">
        <v>3508</v>
      </c>
      <c r="B3080" s="2" t="s">
        <v>2847</v>
      </c>
      <c r="C3080" s="2" t="s">
        <v>3510</v>
      </c>
      <c r="D3080" s="3" t="str">
        <f>HYPERLINK("https://12go.asia/en/travel/puri/gujarat", "12Go Link")</f>
        <v>12Go Link</v>
      </c>
      <c r="E3080" s="2" t="s">
        <v>77</v>
      </c>
    </row>
    <row r="3081">
      <c r="A3081" s="2" t="s">
        <v>3508</v>
      </c>
      <c r="B3081" s="2" t="s">
        <v>2986</v>
      </c>
      <c r="C3081" s="2" t="s">
        <v>3511</v>
      </c>
      <c r="D3081" s="3" t="str">
        <f>HYPERLINK("https://12go.asia/en/travel/puri/jharkhand", "12Go Link")</f>
        <v>12Go Link</v>
      </c>
      <c r="E3081" s="2" t="s">
        <v>77</v>
      </c>
    </row>
    <row r="3082">
      <c r="A3082" s="2" t="s">
        <v>3508</v>
      </c>
      <c r="B3082" s="2" t="s">
        <v>3512</v>
      </c>
      <c r="C3082" s="2" t="s">
        <v>3513</v>
      </c>
      <c r="D3082" s="3" t="str">
        <f>HYPERLINK("https://12go.asia/en/travel/puri/rairakhol", "12Go Link")</f>
        <v>12Go Link</v>
      </c>
      <c r="E3082" s="2" t="s">
        <v>77</v>
      </c>
    </row>
    <row r="3083">
      <c r="A3083" s="2" t="s">
        <v>3508</v>
      </c>
      <c r="B3083" s="2" t="s">
        <v>3514</v>
      </c>
      <c r="C3083" s="2" t="s">
        <v>3515</v>
      </c>
      <c r="D3083" s="3" t="str">
        <f>HYPERLINK("https://12go.asia/en/travel/puri/tirupati", "12Go Link")</f>
        <v>12Go Link</v>
      </c>
      <c r="E3083" s="2" t="s">
        <v>77</v>
      </c>
    </row>
    <row r="3084">
      <c r="A3084" s="2" t="s">
        <v>3508</v>
      </c>
      <c r="B3084" s="2" t="s">
        <v>2279</v>
      </c>
      <c r="C3084" s="2" t="s">
        <v>3516</v>
      </c>
      <c r="D3084" s="3" t="str">
        <f>HYPERLINK("https://12go.asia/en/travel/puri/vrindavan", "12Go Link")</f>
        <v>12Go Link</v>
      </c>
      <c r="E3084" s="2" t="s">
        <v>77</v>
      </c>
    </row>
    <row r="3085">
      <c r="A3085" s="2" t="s">
        <v>3517</v>
      </c>
      <c r="B3085" s="2" t="s">
        <v>2459</v>
      </c>
      <c r="C3085" s="2" t="s">
        <v>3518</v>
      </c>
      <c r="D3085" s="3" t="str">
        <f>HYPERLINK("https://12go.asia/en/travel/purna/jaipur", "12Go Link")</f>
        <v>12Go Link</v>
      </c>
      <c r="E3085" s="2" t="s">
        <v>77</v>
      </c>
    </row>
    <row r="3086">
      <c r="A3086" s="2" t="s">
        <v>3519</v>
      </c>
      <c r="B3086" s="2" t="s">
        <v>3520</v>
      </c>
      <c r="C3086" s="2" t="s">
        <v>3521</v>
      </c>
      <c r="D3086" s="3" t="str">
        <f>HYPERLINK("https://12go.asia/en/travel/purnea-junction/danapur", "12Go Link")</f>
        <v>12Go Link</v>
      </c>
      <c r="E3086" s="2" t="s">
        <v>77</v>
      </c>
    </row>
    <row r="3087">
      <c r="A3087" s="2" t="s">
        <v>3519</v>
      </c>
      <c r="B3087" s="2" t="s">
        <v>3520</v>
      </c>
      <c r="C3087" s="2" t="s">
        <v>3522</v>
      </c>
      <c r="D3087" s="3" t="str">
        <f>HYPERLINK("https://12go.asia/en/travel/purnia/danapur", "12Go Link")</f>
        <v>12Go Link</v>
      </c>
      <c r="E3087" s="2" t="s">
        <v>77</v>
      </c>
    </row>
    <row r="3088">
      <c r="A3088" s="2" t="s">
        <v>3365</v>
      </c>
      <c r="B3088" s="2" t="s">
        <v>3523</v>
      </c>
      <c r="C3088" s="2" t="s">
        <v>3524</v>
      </c>
      <c r="D3088" s="3" t="str">
        <f>HYPERLINK("https://12go.asia/en/travel/pushkar/bharatpur-rajasthan", "12Go Link")</f>
        <v>12Go Link</v>
      </c>
      <c r="E3088" s="2" t="s">
        <v>77</v>
      </c>
    </row>
    <row r="3089">
      <c r="A3089" s="2" t="s">
        <v>3365</v>
      </c>
      <c r="B3089" s="2" t="s">
        <v>3525</v>
      </c>
      <c r="C3089" s="2" t="s">
        <v>3526</v>
      </c>
      <c r="D3089" s="3" t="str">
        <f>HYPERLINK("https://12go.asia/en/travel/pushkar/bhilwara", "12Go Link")</f>
        <v>12Go Link</v>
      </c>
      <c r="E3089" s="2" t="s">
        <v>77</v>
      </c>
    </row>
    <row r="3090">
      <c r="A3090" s="2" t="s">
        <v>3365</v>
      </c>
      <c r="B3090" s="2" t="s">
        <v>2340</v>
      </c>
      <c r="C3090" s="2" t="s">
        <v>3527</v>
      </c>
      <c r="D3090" s="3" t="str">
        <f>HYPERLINK("https://12go.asia/en/travel/pushkar/bhuj", "12Go Link")</f>
        <v>12Go Link</v>
      </c>
      <c r="E3090" s="2" t="s">
        <v>77</v>
      </c>
    </row>
    <row r="3091">
      <c r="A3091" s="2" t="s">
        <v>3365</v>
      </c>
      <c r="B3091" s="2" t="s">
        <v>3462</v>
      </c>
      <c r="C3091" s="2" t="s">
        <v>3528</v>
      </c>
      <c r="D3091" s="3" t="str">
        <f>HYPERLINK("https://12go.asia/en/travel/pushkar/gurgaon", "12Go Link")</f>
        <v>12Go Link</v>
      </c>
      <c r="E3091" s="2" t="s">
        <v>77</v>
      </c>
    </row>
    <row r="3092">
      <c r="A3092" s="2" t="s">
        <v>3365</v>
      </c>
      <c r="B3092" s="2" t="s">
        <v>2383</v>
      </c>
      <c r="C3092" s="2" t="s">
        <v>3529</v>
      </c>
      <c r="D3092" s="3" t="str">
        <f>HYPERLINK("https://12go.asia/en/travel/pushkar/haryana", "12Go Link")</f>
        <v>12Go Link</v>
      </c>
      <c r="E3092" s="2" t="s">
        <v>77</v>
      </c>
    </row>
    <row r="3093">
      <c r="A3093" s="2" t="s">
        <v>3365</v>
      </c>
      <c r="B3093" s="2" t="s">
        <v>2385</v>
      </c>
      <c r="C3093" s="2" t="s">
        <v>3530</v>
      </c>
      <c r="D3093" s="3" t="str">
        <f>HYPERLINK("https://12go.asia/en/travel/pushkar/jammu", "12Go Link")</f>
        <v>12Go Link</v>
      </c>
      <c r="E3093" s="2" t="s">
        <v>77</v>
      </c>
    </row>
    <row r="3094">
      <c r="A3094" s="2" t="s">
        <v>3365</v>
      </c>
      <c r="B3094" s="2" t="s">
        <v>2373</v>
      </c>
      <c r="C3094" s="2" t="s">
        <v>3531</v>
      </c>
      <c r="D3094" s="3" t="str">
        <f>HYPERLINK("https://12go.asia/en/travel/pushkar/jammu-and-kashmir", "12Go Link")</f>
        <v>12Go Link</v>
      </c>
      <c r="E3094" s="2" t="s">
        <v>77</v>
      </c>
    </row>
    <row r="3095">
      <c r="A3095" s="2" t="s">
        <v>3365</v>
      </c>
      <c r="B3095" s="2" t="s">
        <v>2375</v>
      </c>
      <c r="C3095" s="2" t="s">
        <v>3532</v>
      </c>
      <c r="D3095" s="3" t="str">
        <f>HYPERLINK("https://12go.asia/en/travel/pushkar/jammu-kashmir", "12Go Link")</f>
        <v>12Go Link</v>
      </c>
      <c r="E3095" s="2" t="s">
        <v>77</v>
      </c>
    </row>
    <row r="3096">
      <c r="A3096" s="2" t="s">
        <v>3365</v>
      </c>
      <c r="B3096" s="2" t="s">
        <v>2686</v>
      </c>
      <c r="C3096" s="2" t="s">
        <v>3533</v>
      </c>
      <c r="D3096" s="3" t="str">
        <f>HYPERLINK("https://12go.asia/en/travel/pushkar/kalyan", "12Go Link")</f>
        <v>12Go Link</v>
      </c>
      <c r="E3096" s="2" t="s">
        <v>77</v>
      </c>
    </row>
    <row r="3097">
      <c r="A3097" s="2" t="s">
        <v>3365</v>
      </c>
      <c r="B3097" s="2" t="s">
        <v>2750</v>
      </c>
      <c r="C3097" s="2" t="s">
        <v>3534</v>
      </c>
      <c r="D3097" s="3" t="str">
        <f>HYPERLINK("https://12go.asia/en/travel/pushkar/madhya-pradesh", "12Go Link")</f>
        <v>12Go Link</v>
      </c>
      <c r="E3097" s="2" t="s">
        <v>77</v>
      </c>
    </row>
    <row r="3098">
      <c r="A3098" s="2" t="s">
        <v>3365</v>
      </c>
      <c r="B3098" s="2" t="s">
        <v>2277</v>
      </c>
      <c r="C3098" s="2" t="s">
        <v>3535</v>
      </c>
      <c r="D3098" s="3" t="str">
        <f>HYPERLINK("https://12go.asia/en/travel/pushkar/sikandra-agra", "12Go Link")</f>
        <v>12Go Link</v>
      </c>
      <c r="E3098" s="2" t="s">
        <v>77</v>
      </c>
    </row>
    <row r="3099">
      <c r="A3099" s="2" t="s">
        <v>3365</v>
      </c>
      <c r="B3099" s="2" t="s">
        <v>2397</v>
      </c>
      <c r="C3099" s="2" t="s">
        <v>3536</v>
      </c>
      <c r="D3099" s="3" t="str">
        <f>HYPERLINK("https://12go.asia/en/travel/pushkar/surat", "12Go Link")</f>
        <v>12Go Link</v>
      </c>
      <c r="E3099" s="2" t="s">
        <v>77</v>
      </c>
    </row>
    <row r="3100">
      <c r="A3100" s="2" t="s">
        <v>3365</v>
      </c>
      <c r="B3100" s="2" t="s">
        <v>2626</v>
      </c>
      <c r="C3100" s="2" t="s">
        <v>3537</v>
      </c>
      <c r="D3100" s="3" t="str">
        <f>HYPERLINK("https://12go.asia/en/travel/pushkar/west-bengal", "12Go Link")</f>
        <v>12Go Link</v>
      </c>
      <c r="E3100" s="2" t="s">
        <v>77</v>
      </c>
    </row>
    <row r="3101">
      <c r="A3101" s="2" t="s">
        <v>2757</v>
      </c>
      <c r="B3101" s="2" t="s">
        <v>2641</v>
      </c>
      <c r="C3101" s="2" t="s">
        <v>3538</v>
      </c>
      <c r="D3101" s="3" t="str">
        <f>HYPERLINK("https://12go.asia/en/travel/puttaparthi/telangana", "12Go Link")</f>
        <v>12Go Link</v>
      </c>
      <c r="E3101" s="2" t="s">
        <v>77</v>
      </c>
    </row>
    <row r="3102">
      <c r="A3102" s="2" t="s">
        <v>3539</v>
      </c>
      <c r="B3102" s="2" t="s">
        <v>2447</v>
      </c>
      <c r="C3102" s="2" t="s">
        <v>3540</v>
      </c>
      <c r="D3102" s="3" t="str">
        <f>HYPERLINK("https://12go.asia/en/travel/puttur/tambaram", "12Go Link")</f>
        <v>12Go Link</v>
      </c>
      <c r="E3102" s="2" t="s">
        <v>77</v>
      </c>
    </row>
    <row r="3103">
      <c r="A3103" s="2" t="s">
        <v>3541</v>
      </c>
      <c r="B3103" s="2" t="s">
        <v>2377</v>
      </c>
      <c r="C3103" s="2" t="s">
        <v>3542</v>
      </c>
      <c r="D3103" s="3" t="str">
        <f>HYPERLINK("https://12go.asia/en/travel/rae-bareli-junction/prayag", "12Go Link")</f>
        <v>12Go Link</v>
      </c>
      <c r="E3103" s="2" t="s">
        <v>77</v>
      </c>
    </row>
    <row r="3104">
      <c r="A3104" s="2" t="s">
        <v>2752</v>
      </c>
      <c r="B3104" s="2" t="s">
        <v>3543</v>
      </c>
      <c r="C3104" s="2" t="s">
        <v>3544</v>
      </c>
      <c r="D3104" s="3" t="str">
        <f>HYPERLINK("https://12go.asia/en/travel/raipur-jn/vizianagram-junction", "12Go Link")</f>
        <v>12Go Link</v>
      </c>
      <c r="E3104" s="2" t="s">
        <v>77</v>
      </c>
    </row>
    <row r="3105">
      <c r="A3105" s="2" t="s">
        <v>2752</v>
      </c>
      <c r="B3105" s="2" t="s">
        <v>3543</v>
      </c>
      <c r="C3105" s="2" t="s">
        <v>3545</v>
      </c>
      <c r="D3105" s="3" t="str">
        <f>HYPERLINK("https://12go.asia/en/travel/raipur/vizianagram", "12Go Link")</f>
        <v>12Go Link</v>
      </c>
      <c r="E3105" s="2" t="s">
        <v>77</v>
      </c>
    </row>
    <row r="3106">
      <c r="A3106" s="2" t="s">
        <v>2671</v>
      </c>
      <c r="B3106" s="2" t="s">
        <v>2519</v>
      </c>
      <c r="C3106" s="2" t="s">
        <v>3546</v>
      </c>
      <c r="D3106" s="3" t="str">
        <f>HYPERLINK("https://12go.asia/en/travel/rajahmundry/bhimavaram-town", "12Go Link")</f>
        <v>12Go Link</v>
      </c>
      <c r="E3106" s="2" t="s">
        <v>77</v>
      </c>
    </row>
    <row r="3107">
      <c r="A3107" s="2" t="s">
        <v>2671</v>
      </c>
      <c r="B3107" s="2" t="s">
        <v>2519</v>
      </c>
      <c r="C3107" s="2" t="s">
        <v>3547</v>
      </c>
      <c r="D3107" s="3" t="str">
        <f>HYPERLINK("https://12go.asia/en/travel/rajahmundry/bhimavaram", "12Go Link")</f>
        <v>12Go Link</v>
      </c>
      <c r="E3107" s="2" t="s">
        <v>77</v>
      </c>
    </row>
    <row r="3108">
      <c r="A3108" s="2" t="s">
        <v>2468</v>
      </c>
      <c r="B3108" s="2" t="s">
        <v>2289</v>
      </c>
      <c r="C3108" s="2" t="s">
        <v>3548</v>
      </c>
      <c r="D3108" s="3" t="str">
        <f>HYPERLINK("https://12go.asia/en/travel/suratgarh-junction/delhi", "12Go Link")</f>
        <v>12Go Link</v>
      </c>
      <c r="E3108" s="2" t="s">
        <v>77</v>
      </c>
    </row>
    <row r="3109">
      <c r="A3109" s="2" t="s">
        <v>2468</v>
      </c>
      <c r="B3109" s="2" t="s">
        <v>2289</v>
      </c>
      <c r="C3109" s="2" t="s">
        <v>3549</v>
      </c>
      <c r="D3109" s="3" t="str">
        <f>HYPERLINK("https://12go.asia/en/travel/suratgarh-junction/delhi-sarai-rohilla", "12Go Link")</f>
        <v>12Go Link</v>
      </c>
      <c r="E3109" s="2" t="s">
        <v>77</v>
      </c>
    </row>
    <row r="3110">
      <c r="A3110" s="2" t="s">
        <v>2468</v>
      </c>
      <c r="B3110" s="2" t="s">
        <v>3462</v>
      </c>
      <c r="C3110" s="2" t="s">
        <v>3550</v>
      </c>
      <c r="D3110" s="3" t="str">
        <f>HYPERLINK("https://12go.asia/en/travel/phulera-junction/gurgaon", "12Go Link")</f>
        <v>12Go Link</v>
      </c>
      <c r="E3110" s="2" t="s">
        <v>77</v>
      </c>
    </row>
    <row r="3111">
      <c r="A3111" s="2" t="s">
        <v>2468</v>
      </c>
      <c r="B3111" s="2" t="s">
        <v>3462</v>
      </c>
      <c r="C3111" s="2" t="s">
        <v>3551</v>
      </c>
      <c r="D3111" s="3" t="str">
        <f>HYPERLINK("https://12go.asia/en/travel/abu-road/gurugram-gurgaon", "12Go Link")</f>
        <v>12Go Link</v>
      </c>
      <c r="E3111" s="2" t="s">
        <v>25</v>
      </c>
    </row>
    <row r="3112">
      <c r="A3112" s="2" t="s">
        <v>2468</v>
      </c>
      <c r="B3112" s="2" t="s">
        <v>2377</v>
      </c>
      <c r="C3112" s="2" t="s">
        <v>3552</v>
      </c>
      <c r="D3112" s="3" t="str">
        <f>HYPERLINK("https://12go.asia/en/travel/chittor/allahabad", "12Go Link")</f>
        <v>12Go Link</v>
      </c>
      <c r="E3112" s="2" t="s">
        <v>25</v>
      </c>
    </row>
    <row r="3113">
      <c r="A3113" s="2" t="s">
        <v>2468</v>
      </c>
      <c r="B3113" s="2" t="s">
        <v>2509</v>
      </c>
      <c r="C3113" s="2" t="s">
        <v>3553</v>
      </c>
      <c r="D3113" s="3" t="str">
        <f>HYPERLINK("https://12go.asia/en/travel/bayana-junction/tundla-junction", "12Go Link")</f>
        <v>12Go Link</v>
      </c>
      <c r="E3113" s="2" t="s">
        <v>77</v>
      </c>
    </row>
    <row r="3114">
      <c r="A3114" s="2" t="s">
        <v>3147</v>
      </c>
      <c r="B3114" s="2" t="s">
        <v>3096</v>
      </c>
      <c r="C3114" s="2" t="s">
        <v>3554</v>
      </c>
      <c r="D3114" s="3" t="str">
        <f>HYPERLINK("https://12go.asia/en/travel/rajkot/santragachi-junction", "12Go Link")</f>
        <v>12Go Link</v>
      </c>
      <c r="E3114" s="2" t="s">
        <v>77</v>
      </c>
    </row>
    <row r="3115">
      <c r="A3115" s="2" t="s">
        <v>2983</v>
      </c>
      <c r="B3115" s="2" t="s">
        <v>2991</v>
      </c>
      <c r="C3115" s="2" t="s">
        <v>3555</v>
      </c>
      <c r="D3115" s="3" t="str">
        <f>HYPERLINK("https://12go.asia/en/travel/ranchi/sambalpur-city", "12Go Link")</f>
        <v>12Go Link</v>
      </c>
      <c r="E3115" s="2" t="s">
        <v>77</v>
      </c>
    </row>
    <row r="3116">
      <c r="A3116" s="2" t="s">
        <v>2787</v>
      </c>
      <c r="B3116" s="2" t="s">
        <v>2377</v>
      </c>
      <c r="C3116" s="2" t="s">
        <v>3556</v>
      </c>
      <c r="D3116" s="3" t="str">
        <f>HYPERLINK("https://12go.asia/en/travel/rangiya-junction/prayagraj-junction", "12Go Link")</f>
        <v>12Go Link</v>
      </c>
      <c r="E3116" s="2" t="s">
        <v>77</v>
      </c>
    </row>
    <row r="3117">
      <c r="A3117" s="2" t="s">
        <v>2787</v>
      </c>
      <c r="B3117" s="2" t="s">
        <v>2377</v>
      </c>
      <c r="C3117" s="2" t="s">
        <v>3557</v>
      </c>
      <c r="D3117" s="3" t="str">
        <f>HYPERLINK("https://12go.asia/en/travel/rangiya/prayagraj", "12Go Link")</f>
        <v>12Go Link</v>
      </c>
      <c r="E3117" s="2" t="s">
        <v>77</v>
      </c>
    </row>
    <row r="3118">
      <c r="A3118" s="2" t="s">
        <v>3558</v>
      </c>
      <c r="B3118" s="2" t="s">
        <v>2943</v>
      </c>
      <c r="C3118" s="2" t="s">
        <v>3559</v>
      </c>
      <c r="D3118" s="3" t="str">
        <f>HYPERLINK("https://12go.asia/en/travel/raxaul-junction/narkatiaganj-junction", "12Go Link")</f>
        <v>12Go Link</v>
      </c>
      <c r="E3118" s="2" t="s">
        <v>77</v>
      </c>
    </row>
    <row r="3119">
      <c r="A3119" s="2" t="s">
        <v>3560</v>
      </c>
      <c r="B3119" s="2" t="s">
        <v>2416</v>
      </c>
      <c r="C3119" s="2" t="s">
        <v>3561</v>
      </c>
      <c r="D3119" s="3" t="str">
        <f>HYPERLINK("https://12go.asia/en/travel/rayagada/hyderabad", "12Go Link")</f>
        <v>12Go Link</v>
      </c>
      <c r="E3119" s="2" t="s">
        <v>77</v>
      </c>
    </row>
    <row r="3120">
      <c r="A3120" s="2" t="s">
        <v>3560</v>
      </c>
      <c r="B3120" s="2" t="s">
        <v>2827</v>
      </c>
      <c r="C3120" s="2" t="s">
        <v>3562</v>
      </c>
      <c r="D3120" s="3" t="str">
        <f>HYPERLINK("https://12go.asia/en/travel/rayagada/secunderabad", "12Go Link")</f>
        <v>12Go Link</v>
      </c>
      <c r="E3120" s="2" t="s">
        <v>77</v>
      </c>
    </row>
    <row r="3121">
      <c r="A3121" s="2" t="s">
        <v>3563</v>
      </c>
      <c r="B3121" s="2" t="s">
        <v>2302</v>
      </c>
      <c r="C3121" s="2" t="s">
        <v>3564</v>
      </c>
      <c r="D3121" s="3" t="str">
        <f>HYPERLINK("https://12go.asia/en/travel/rishikesh/patiala", "12Go Link")</f>
        <v>12Go Link</v>
      </c>
      <c r="E3121" s="2" t="s">
        <v>77</v>
      </c>
    </row>
    <row r="3122">
      <c r="A3122" s="2" t="s">
        <v>3210</v>
      </c>
      <c r="B3122" s="2" t="s">
        <v>3104</v>
      </c>
      <c r="C3122" s="2" t="s">
        <v>3565</v>
      </c>
      <c r="D3122" s="3" t="str">
        <f>HYPERLINK("https://12go.asia/en/travel/rohtak/katra-vaishno-devi", "12Go Link")</f>
        <v>12Go Link</v>
      </c>
      <c r="E3122" s="2" t="s">
        <v>77</v>
      </c>
    </row>
    <row r="3123">
      <c r="A3123" s="2" t="s">
        <v>3210</v>
      </c>
      <c r="B3123" s="2" t="s">
        <v>2863</v>
      </c>
      <c r="C3123" s="2" t="s">
        <v>3566</v>
      </c>
      <c r="D3123" s="3" t="str">
        <f>HYPERLINK("https://12go.asia/en/travel/rohtak/shri-mata-vaishno", "12Go Link")</f>
        <v>12Go Link</v>
      </c>
      <c r="E3123" s="2" t="s">
        <v>77</v>
      </c>
    </row>
    <row r="3124">
      <c r="A3124" s="2" t="s">
        <v>3567</v>
      </c>
      <c r="B3124" s="2" t="s">
        <v>3568</v>
      </c>
      <c r="C3124" s="2" t="s">
        <v>3569</v>
      </c>
      <c r="D3124" s="3" t="str">
        <f>HYPERLINK("https://12go.asia/en/travel/roorkee/sahibzada-ajeet-singh-nagar-mohali", "12Go Link")</f>
        <v>12Go Link</v>
      </c>
      <c r="E3124" s="2" t="s">
        <v>77</v>
      </c>
    </row>
    <row r="3125">
      <c r="A3125" s="2" t="s">
        <v>3567</v>
      </c>
      <c r="B3125" s="2" t="s">
        <v>3568</v>
      </c>
      <c r="C3125" s="2" t="s">
        <v>3570</v>
      </c>
      <c r="D3125" s="3" t="str">
        <f>HYPERLINK("https://12go.asia/en/travel/roorkee/mohali", "12Go Link")</f>
        <v>12Go Link</v>
      </c>
      <c r="E3125" s="2" t="s">
        <v>77</v>
      </c>
    </row>
    <row r="3126">
      <c r="A3126" s="2" t="s">
        <v>2695</v>
      </c>
      <c r="B3126" s="2" t="s">
        <v>2657</v>
      </c>
      <c r="C3126" s="2" t="s">
        <v>3571</v>
      </c>
      <c r="D3126" s="3" t="str">
        <f>HYPERLINK("https://12go.asia/en/travel/sagar/gwalior", "12Go Link")</f>
        <v>12Go Link</v>
      </c>
      <c r="E3126" s="2" t="s">
        <v>77</v>
      </c>
    </row>
    <row r="3127">
      <c r="A3127" s="2" t="s">
        <v>2695</v>
      </c>
      <c r="B3127" s="2" t="s">
        <v>2657</v>
      </c>
      <c r="C3127" s="2" t="s">
        <v>3572</v>
      </c>
      <c r="D3127" s="3" t="str">
        <f>HYPERLINK("https://12go.asia/en/travel/saugor/gwalior-jn", "12Go Link")</f>
        <v>12Go Link</v>
      </c>
      <c r="E3127" s="2" t="s">
        <v>77</v>
      </c>
    </row>
    <row r="3128">
      <c r="A3128" s="2" t="s">
        <v>2695</v>
      </c>
      <c r="B3128" s="2" t="s">
        <v>2703</v>
      </c>
      <c r="C3128" s="2" t="s">
        <v>3573</v>
      </c>
      <c r="D3128" s="3" t="str">
        <f>HYPERLINK("https://12go.asia/en/travel/sagar/mughalsarai", "12Go Link")</f>
        <v>12Go Link</v>
      </c>
      <c r="E3128" s="2" t="s">
        <v>77</v>
      </c>
    </row>
    <row r="3129">
      <c r="A3129" s="2" t="s">
        <v>2731</v>
      </c>
      <c r="B3129" s="2" t="s">
        <v>2289</v>
      </c>
      <c r="C3129" s="2" t="s">
        <v>3574</v>
      </c>
      <c r="D3129" s="3" t="str">
        <f>HYPERLINK("https://12go.asia/en/travel/sahibganj-junction/delhi", "12Go Link")</f>
        <v>12Go Link</v>
      </c>
      <c r="E3129" s="2" t="s">
        <v>77</v>
      </c>
    </row>
    <row r="3130">
      <c r="A3130" s="2" t="s">
        <v>2731</v>
      </c>
      <c r="B3130" s="2" t="s">
        <v>2289</v>
      </c>
      <c r="C3130" s="2" t="s">
        <v>3575</v>
      </c>
      <c r="D3130" s="3" t="str">
        <f>HYPERLINK("https://12go.asia/en/travel/sahibganj/delhi", "12Go Link")</f>
        <v>12Go Link</v>
      </c>
      <c r="E3130" s="2" t="s">
        <v>77</v>
      </c>
    </row>
    <row r="3131">
      <c r="A3131" s="2" t="s">
        <v>3576</v>
      </c>
      <c r="B3131" s="2" t="s">
        <v>2411</v>
      </c>
      <c r="C3131" s="2" t="s">
        <v>3577</v>
      </c>
      <c r="D3131" s="3" t="str">
        <f>HYPERLINK("https://12go.asia/en/travel/sainthia/barddhaman-junction", "12Go Link")</f>
        <v>12Go Link</v>
      </c>
      <c r="E3131" s="2" t="s">
        <v>77</v>
      </c>
    </row>
    <row r="3132">
      <c r="A3132" s="2" t="s">
        <v>3576</v>
      </c>
      <c r="B3132" s="2" t="s">
        <v>2411</v>
      </c>
      <c r="C3132" s="2" t="s">
        <v>3578</v>
      </c>
      <c r="D3132" s="3" t="str">
        <f>HYPERLINK("https://12go.asia/en/travel/sainthia/bardhaman", "12Go Link")</f>
        <v>12Go Link</v>
      </c>
      <c r="E3132" s="2" t="s">
        <v>77</v>
      </c>
    </row>
    <row r="3133">
      <c r="A3133" s="2" t="s">
        <v>2444</v>
      </c>
      <c r="B3133" s="2" t="s">
        <v>2899</v>
      </c>
      <c r="C3133" s="2" t="s">
        <v>3579</v>
      </c>
      <c r="D3133" s="3" t="str">
        <f>HYPERLINK("https://12go.asia/en/travel/salem-junction/hubballi-jn", "12Go Link")</f>
        <v>12Go Link</v>
      </c>
      <c r="E3133" s="2" t="s">
        <v>77</v>
      </c>
    </row>
    <row r="3134">
      <c r="A3134" s="2" t="s">
        <v>2444</v>
      </c>
      <c r="B3134" s="2" t="s">
        <v>2899</v>
      </c>
      <c r="C3134" s="2" t="s">
        <v>3580</v>
      </c>
      <c r="D3134" s="3" t="str">
        <f>HYPERLINK("https://12go.asia/en/travel/salem/hubli", "12Go Link")</f>
        <v>12Go Link</v>
      </c>
      <c r="E3134" s="2" t="s">
        <v>77</v>
      </c>
    </row>
    <row r="3135">
      <c r="A3135" s="2" t="s">
        <v>3581</v>
      </c>
      <c r="B3135" s="2" t="s">
        <v>3582</v>
      </c>
      <c r="C3135" s="2" t="s">
        <v>3583</v>
      </c>
      <c r="D3135" s="3" t="str">
        <f>HYPERLINK("https://12go.asia/en/travel/samastipur-junction/kishanganj", "12Go Link")</f>
        <v>12Go Link</v>
      </c>
      <c r="E3135" s="2" t="s">
        <v>77</v>
      </c>
    </row>
    <row r="3136">
      <c r="A3136" s="2" t="s">
        <v>3581</v>
      </c>
      <c r="B3136" s="2" t="s">
        <v>3584</v>
      </c>
      <c r="C3136" s="2" t="s">
        <v>3585</v>
      </c>
      <c r="D3136" s="3" t="str">
        <f>HYPERLINK("https://12go.asia/en/travel/samastipur-junction/saharsa-junction", "12Go Link")</f>
        <v>12Go Link</v>
      </c>
      <c r="E3136" s="2" t="s">
        <v>77</v>
      </c>
    </row>
    <row r="3137">
      <c r="A3137" s="2" t="s">
        <v>3581</v>
      </c>
      <c r="B3137" s="2" t="s">
        <v>3584</v>
      </c>
      <c r="C3137" s="2" t="s">
        <v>3586</v>
      </c>
      <c r="D3137" s="3" t="str">
        <f>HYPERLINK("https://12go.asia/en/travel/samastipur/saharsa", "12Go Link")</f>
        <v>12Go Link</v>
      </c>
      <c r="E3137" s="2" t="s">
        <v>77</v>
      </c>
    </row>
    <row r="3138">
      <c r="A3138" s="2" t="s">
        <v>2991</v>
      </c>
      <c r="B3138" s="2" t="s">
        <v>2703</v>
      </c>
      <c r="C3138" s="2" t="s">
        <v>3587</v>
      </c>
      <c r="D3138" s="3" t="str">
        <f>HYPERLINK("https://12go.asia/en/travel/sambalpur/mughalsarai", "12Go Link")</f>
        <v>12Go Link</v>
      </c>
      <c r="E3138" s="2" t="s">
        <v>77</v>
      </c>
    </row>
    <row r="3139">
      <c r="A3139" s="2" t="s">
        <v>3588</v>
      </c>
      <c r="B3139" s="2" t="s">
        <v>2279</v>
      </c>
      <c r="C3139" s="2" t="s">
        <v>3589</v>
      </c>
      <c r="D3139" s="3" t="str">
        <f>HYPERLINK("https://12go.asia/en/travel/sangrur/vrindavan", "12Go Link")</f>
        <v>12Go Link</v>
      </c>
      <c r="E3139" s="2" t="s">
        <v>77</v>
      </c>
    </row>
    <row r="3140">
      <c r="A3140" s="2" t="s">
        <v>3590</v>
      </c>
      <c r="B3140" s="2" t="s">
        <v>2377</v>
      </c>
      <c r="C3140" s="2" t="s">
        <v>3591</v>
      </c>
      <c r="D3140" s="3" t="str">
        <f>HYPERLINK("https://12go.asia/en/travel/satna/prayagraj", "12Go Link")</f>
        <v>12Go Link</v>
      </c>
      <c r="E3140" s="2" t="s">
        <v>77</v>
      </c>
    </row>
    <row r="3141">
      <c r="A3141" s="2" t="s">
        <v>2827</v>
      </c>
      <c r="B3141" s="2" t="s">
        <v>3592</v>
      </c>
      <c r="C3141" s="2" t="s">
        <v>3593</v>
      </c>
      <c r="D3141" s="3" t="str">
        <f>HYPERLINK("https://12go.asia/en/travel/secunderabad/aler", "12Go Link")</f>
        <v>12Go Link</v>
      </c>
      <c r="E3141" s="2" t="s">
        <v>77</v>
      </c>
    </row>
    <row r="3142">
      <c r="A3142" s="2" t="s">
        <v>2827</v>
      </c>
      <c r="B3142" s="2" t="s">
        <v>3594</v>
      </c>
      <c r="C3142" s="2" t="s">
        <v>3595</v>
      </c>
      <c r="D3142" s="3" t="str">
        <f>HYPERLINK("https://12go.asia/en/travel/secunderabad/wadi", "12Go Link")</f>
        <v>12Go Link</v>
      </c>
      <c r="E3142" s="2" t="s">
        <v>77</v>
      </c>
    </row>
    <row r="3143">
      <c r="A3143" s="2" t="s">
        <v>2323</v>
      </c>
      <c r="B3143" s="2" t="s">
        <v>2776</v>
      </c>
      <c r="C3143" s="2" t="s">
        <v>3596</v>
      </c>
      <c r="D3143" s="3" t="str">
        <f>HYPERLINK("https://12go.asia/en/travel/sevagram/durg", "12Go Link")</f>
        <v>12Go Link</v>
      </c>
      <c r="E3143" s="2" t="s">
        <v>77</v>
      </c>
    </row>
    <row r="3144">
      <c r="A3144" s="2" t="s">
        <v>3597</v>
      </c>
      <c r="B3144" s="2" t="s">
        <v>2668</v>
      </c>
      <c r="C3144" s="2" t="s">
        <v>3598</v>
      </c>
      <c r="D3144" s="3" t="str">
        <f>HYPERLINK("https://12go.asia/en/travel/shahganj-junction/lokmanya-tilak-term", "12Go Link")</f>
        <v>12Go Link</v>
      </c>
      <c r="E3144" s="2" t="s">
        <v>77</v>
      </c>
    </row>
    <row r="3145">
      <c r="A3145" s="2" t="s">
        <v>3597</v>
      </c>
      <c r="B3145" s="2" t="s">
        <v>2668</v>
      </c>
      <c r="C3145" s="2" t="s">
        <v>3599</v>
      </c>
      <c r="D3145" s="3" t="str">
        <f>HYPERLINK("https://12go.asia/en/travel/shahganj/mumbai", "12Go Link")</f>
        <v>12Go Link</v>
      </c>
      <c r="E3145" s="2" t="s">
        <v>77</v>
      </c>
    </row>
    <row r="3146">
      <c r="A3146" s="2" t="s">
        <v>2863</v>
      </c>
      <c r="B3146" s="2" t="s">
        <v>2657</v>
      </c>
      <c r="C3146" s="2" t="s">
        <v>3600</v>
      </c>
      <c r="D3146" s="3" t="str">
        <f>HYPERLINK("https://12go.asia/en/travel/shri-mata-vaishno/gwalior-jn", "12Go Link")</f>
        <v>12Go Link</v>
      </c>
      <c r="E3146" s="2" t="s">
        <v>77</v>
      </c>
    </row>
    <row r="3147">
      <c r="A3147" s="2" t="s">
        <v>2636</v>
      </c>
      <c r="B3147" s="2" t="s">
        <v>2377</v>
      </c>
      <c r="C3147" s="2" t="s">
        <v>3601</v>
      </c>
      <c r="D3147" s="3" t="str">
        <f>HYPERLINK("https://12go.asia/en/travel/sonipat/prayagraj", "12Go Link")</f>
        <v>12Go Link</v>
      </c>
      <c r="E3147" s="2" t="s">
        <v>77</v>
      </c>
    </row>
    <row r="3148">
      <c r="A3148" s="2" t="s">
        <v>2636</v>
      </c>
      <c r="B3148" s="2" t="s">
        <v>2377</v>
      </c>
      <c r="C3148" s="2" t="s">
        <v>3602</v>
      </c>
      <c r="D3148" s="3" t="str">
        <f>HYPERLINK("https://12go.asia/en/travel/sonipat/prayagraj-junction", "12Go Link")</f>
        <v>12Go Link</v>
      </c>
      <c r="E3148" s="2" t="s">
        <v>77</v>
      </c>
    </row>
    <row r="3149">
      <c r="A3149" s="2" t="s">
        <v>2556</v>
      </c>
      <c r="B3149" s="2" t="s">
        <v>2434</v>
      </c>
      <c r="C3149" s="2" t="s">
        <v>3603</v>
      </c>
      <c r="D3149" s="3" t="str">
        <f>HYPERLINK("https://12go.asia/en/travel/sri-ganganagar/maharashtra", "12Go Link")</f>
        <v>12Go Link</v>
      </c>
      <c r="E3149" s="2" t="s">
        <v>77</v>
      </c>
    </row>
    <row r="3150">
      <c r="A3150" s="2" t="s">
        <v>2556</v>
      </c>
      <c r="B3150" s="2" t="s">
        <v>2363</v>
      </c>
      <c r="C3150" s="2" t="s">
        <v>3604</v>
      </c>
      <c r="D3150" s="3" t="str">
        <f>HYPERLINK("https://12go.asia/en/travel/sri-ganganagar/navi-mumbai", "12Go Link")</f>
        <v>12Go Link</v>
      </c>
      <c r="E3150" s="2" t="s">
        <v>77</v>
      </c>
    </row>
    <row r="3151">
      <c r="A3151" s="2" t="s">
        <v>3333</v>
      </c>
      <c r="B3151" s="2" t="s">
        <v>3605</v>
      </c>
      <c r="C3151" s="2" t="s">
        <v>3606</v>
      </c>
      <c r="D3151" s="3" t="str">
        <f>HYPERLINK("https://12go.asia/en/travel/srirangam/tindivanam", "12Go Link")</f>
        <v>12Go Link</v>
      </c>
      <c r="E3151" s="2" t="s">
        <v>77</v>
      </c>
    </row>
    <row r="3152">
      <c r="A3152" s="2" t="s">
        <v>3607</v>
      </c>
      <c r="B3152" s="2" t="s">
        <v>2408</v>
      </c>
      <c r="C3152" s="2" t="s">
        <v>3608</v>
      </c>
      <c r="D3152" s="3" t="str">
        <f>HYPERLINK("https://12go.asia/en/travel/sujangarh-rajasthan/new-delhi", "12Go Link")</f>
        <v>12Go Link</v>
      </c>
      <c r="E3152" s="2" t="s">
        <v>77</v>
      </c>
    </row>
    <row r="3153">
      <c r="A3153" s="2" t="s">
        <v>3609</v>
      </c>
      <c r="B3153" s="2" t="s">
        <v>2413</v>
      </c>
      <c r="C3153" s="2" t="s">
        <v>3610</v>
      </c>
      <c r="D3153" s="3" t="str">
        <f>HYPERLINK("https://12go.asia/en/travel/sullurupeta/andhra-pradesh", "12Go Link")</f>
        <v>12Go Link</v>
      </c>
      <c r="E3153" s="2" t="s">
        <v>77</v>
      </c>
    </row>
    <row r="3154">
      <c r="A3154" s="2" t="s">
        <v>3609</v>
      </c>
      <c r="B3154" s="2" t="s">
        <v>2604</v>
      </c>
      <c r="C3154" s="2" t="s">
        <v>3611</v>
      </c>
      <c r="D3154" s="3" t="str">
        <f>HYPERLINK("https://12go.asia/en/travel/sullurupeta/chennai", "12Go Link")</f>
        <v>12Go Link</v>
      </c>
      <c r="E3154" s="2" t="s">
        <v>77</v>
      </c>
    </row>
    <row r="3155">
      <c r="A3155" s="2" t="s">
        <v>3609</v>
      </c>
      <c r="B3155" s="2" t="s">
        <v>2604</v>
      </c>
      <c r="C3155" s="2" t="s">
        <v>3612</v>
      </c>
      <c r="D3155" s="3" t="str">
        <f>HYPERLINK("https://12go.asia/en/travel/sullurupeta/chennai-central", "12Go Link")</f>
        <v>12Go Link</v>
      </c>
      <c r="E3155" s="2" t="s">
        <v>77</v>
      </c>
    </row>
    <row r="3156">
      <c r="A3156" s="2" t="s">
        <v>3170</v>
      </c>
      <c r="B3156" s="2" t="s">
        <v>2516</v>
      </c>
      <c r="C3156" s="2" t="s">
        <v>3613</v>
      </c>
      <c r="D3156" s="3" t="str">
        <f t="shared" ref="D3156:D3157" si="289">HYPERLINK("https://12go.asia/en/travel/sultan-bathery/bangalore", "12Go Link")</f>
        <v>12Go Link</v>
      </c>
      <c r="E3156" s="2" t="s">
        <v>25</v>
      </c>
    </row>
    <row r="3157">
      <c r="A3157" s="2" t="s">
        <v>3170</v>
      </c>
      <c r="B3157" s="2" t="s">
        <v>2516</v>
      </c>
      <c r="C3157" s="2" t="s">
        <v>3613</v>
      </c>
      <c r="D3157" s="3" t="str">
        <f t="shared" si="289"/>
        <v>12Go Link</v>
      </c>
      <c r="E3157" s="2" t="s">
        <v>25</v>
      </c>
    </row>
    <row r="3158">
      <c r="A3158" s="2" t="s">
        <v>3170</v>
      </c>
      <c r="B3158" s="2" t="s">
        <v>2700</v>
      </c>
      <c r="C3158" s="2" t="s">
        <v>3614</v>
      </c>
      <c r="D3158" s="3" t="str">
        <f t="shared" ref="D3158:D3159" si="290">HYPERLINK("https://12go.asia/en/travel/sultan-bathery/karnataka", "12Go Link")</f>
        <v>12Go Link</v>
      </c>
      <c r="E3158" s="2" t="s">
        <v>25</v>
      </c>
    </row>
    <row r="3159">
      <c r="A3159" s="2" t="s">
        <v>3170</v>
      </c>
      <c r="B3159" s="2" t="s">
        <v>2700</v>
      </c>
      <c r="C3159" s="2" t="s">
        <v>3614</v>
      </c>
      <c r="D3159" s="3" t="str">
        <f t="shared" si="290"/>
        <v>12Go Link</v>
      </c>
      <c r="E3159" s="2" t="s">
        <v>25</v>
      </c>
    </row>
    <row r="3160">
      <c r="A3160" s="2" t="s">
        <v>3615</v>
      </c>
      <c r="B3160" s="2" t="s">
        <v>2746</v>
      </c>
      <c r="C3160" s="2" t="s">
        <v>3616</v>
      </c>
      <c r="D3160" s="3" t="str">
        <f>HYPERLINK("https://12go.asia/en/travel/sultanpur/uttar-pradesh", "12Go Link")</f>
        <v>12Go Link</v>
      </c>
      <c r="E3160" s="2" t="s">
        <v>77</v>
      </c>
    </row>
    <row r="3161">
      <c r="A3161" s="2" t="s">
        <v>2397</v>
      </c>
      <c r="B3161" s="2" t="s">
        <v>2383</v>
      </c>
      <c r="C3161" s="2" t="s">
        <v>3617</v>
      </c>
      <c r="D3161" s="3" t="str">
        <f>HYPERLINK("https://12go.asia/en/travel/surat/haryana", "12Go Link")</f>
        <v>12Go Link</v>
      </c>
      <c r="E3161" s="2" t="s">
        <v>77</v>
      </c>
    </row>
    <row r="3162">
      <c r="A3162" s="2" t="s">
        <v>2397</v>
      </c>
      <c r="B3162" s="2" t="s">
        <v>2363</v>
      </c>
      <c r="C3162" s="2" t="s">
        <v>3618</v>
      </c>
      <c r="D3162" s="3" t="str">
        <f>HYPERLINK("https://12go.asia/en/travel/surat/navi-mumbai", "12Go Link")</f>
        <v>12Go Link</v>
      </c>
      <c r="E3162" s="2" t="s">
        <v>77</v>
      </c>
    </row>
    <row r="3163">
      <c r="A3163" s="2" t="s">
        <v>2397</v>
      </c>
      <c r="B3163" s="2" t="s">
        <v>2327</v>
      </c>
      <c r="C3163" s="2" t="s">
        <v>3619</v>
      </c>
      <c r="D3163" s="3" t="str">
        <f>HYPERLINK("https://12go.asia/en/travel/surat/wardha", "12Go Link")</f>
        <v>12Go Link</v>
      </c>
      <c r="E3163" s="2" t="s">
        <v>77</v>
      </c>
    </row>
    <row r="3164">
      <c r="A3164" s="2" t="s">
        <v>2397</v>
      </c>
      <c r="B3164" s="2" t="s">
        <v>2327</v>
      </c>
      <c r="C3164" s="2" t="s">
        <v>3620</v>
      </c>
      <c r="D3164" s="3" t="str">
        <f>HYPERLINK("https://12go.asia/en/travel/surat/wardha-junction", "12Go Link")</f>
        <v>12Go Link</v>
      </c>
      <c r="E3164" s="2" t="s">
        <v>77</v>
      </c>
    </row>
    <row r="3165">
      <c r="A3165" s="2" t="s">
        <v>3621</v>
      </c>
      <c r="B3165" s="2" t="s">
        <v>2408</v>
      </c>
      <c r="C3165" s="2" t="s">
        <v>3622</v>
      </c>
      <c r="D3165" s="3" t="str">
        <f>HYPERLINK("https://12go.asia/en/travel/suratgarh/new-delhi", "12Go Link")</f>
        <v>12Go Link</v>
      </c>
      <c r="E3165" s="2" t="s">
        <v>77</v>
      </c>
    </row>
    <row r="3166">
      <c r="A3166" s="2" t="s">
        <v>3623</v>
      </c>
      <c r="B3166" s="2" t="s">
        <v>2902</v>
      </c>
      <c r="C3166" s="2" t="s">
        <v>3624</v>
      </c>
      <c r="D3166" s="3" t="str">
        <f>HYPERLINK("https://12go.asia/en/travel/suwasra/indore-jn-bg", "12Go Link")</f>
        <v>12Go Link</v>
      </c>
      <c r="E3166" s="2" t="s">
        <v>77</v>
      </c>
    </row>
    <row r="3167">
      <c r="A3167" s="2" t="s">
        <v>3623</v>
      </c>
      <c r="B3167" s="2" t="s">
        <v>2902</v>
      </c>
      <c r="C3167" s="2" t="s">
        <v>3625</v>
      </c>
      <c r="D3167" s="3" t="str">
        <f>HYPERLINK("https://12go.asia/en/travel/suwasra/indore", "12Go Link")</f>
        <v>12Go Link</v>
      </c>
      <c r="E3167" s="2" t="s">
        <v>77</v>
      </c>
    </row>
    <row r="3168">
      <c r="A3168" s="2" t="s">
        <v>3626</v>
      </c>
      <c r="B3168" s="2" t="s">
        <v>2671</v>
      </c>
      <c r="C3168" s="2" t="s">
        <v>3627</v>
      </c>
      <c r="D3168" s="3" t="str">
        <f>HYPERLINK("https://12go.asia/en/travel/tadepalligudem/rajahmundry", "12Go Link")</f>
        <v>12Go Link</v>
      </c>
      <c r="E3168" s="2" t="s">
        <v>77</v>
      </c>
    </row>
    <row r="3169">
      <c r="A3169" s="2" t="s">
        <v>3626</v>
      </c>
      <c r="B3169" s="2" t="s">
        <v>2423</v>
      </c>
      <c r="C3169" s="2" t="s">
        <v>3628</v>
      </c>
      <c r="D3169" s="3" t="str">
        <f>HYPERLINK("https://12go.asia/en/travel/tadepalligudem/vijayawada-jn", "12Go Link")</f>
        <v>12Go Link</v>
      </c>
      <c r="E3169" s="2" t="s">
        <v>77</v>
      </c>
    </row>
    <row r="3170">
      <c r="A3170" s="2" t="s">
        <v>2968</v>
      </c>
      <c r="B3170" s="2" t="s">
        <v>2430</v>
      </c>
      <c r="C3170" s="2" t="s">
        <v>3629</v>
      </c>
      <c r="D3170" s="3" t="str">
        <f>HYPERLINK("https://12go.asia/en/travel/taj-mahal/anjuna", "12Go Link")</f>
        <v>12Go Link</v>
      </c>
      <c r="E3170" s="2" t="s">
        <v>77</v>
      </c>
    </row>
    <row r="3171">
      <c r="A3171" s="2" t="s">
        <v>2968</v>
      </c>
      <c r="B3171" s="2" t="s">
        <v>2284</v>
      </c>
      <c r="C3171" s="2" t="s">
        <v>3630</v>
      </c>
      <c r="D3171" s="3" t="str">
        <f>HYPERLINK("https://12go.asia/en/travel/taj-mahal/badshahnagar", "12Go Link")</f>
        <v>12Go Link</v>
      </c>
      <c r="E3171" s="2" t="s">
        <v>77</v>
      </c>
    </row>
    <row r="3172">
      <c r="A3172" s="2" t="s">
        <v>2968</v>
      </c>
      <c r="B3172" s="2" t="s">
        <v>2479</v>
      </c>
      <c r="C3172" s="2" t="s">
        <v>3631</v>
      </c>
      <c r="D3172" s="3" t="str">
        <f>HYPERLINK("https://12go.asia/en/travel/taj-mahal/coimbatore", "12Go Link")</f>
        <v>12Go Link</v>
      </c>
      <c r="E3172" s="2" t="s">
        <v>77</v>
      </c>
    </row>
    <row r="3173">
      <c r="A3173" s="2" t="s">
        <v>2968</v>
      </c>
      <c r="B3173" s="2" t="s">
        <v>3632</v>
      </c>
      <c r="C3173" s="2" t="s">
        <v>3633</v>
      </c>
      <c r="D3173" s="3" t="str">
        <f>HYPERLINK("https://12go.asia/en/travel/taj-mahal/kishangarh", "12Go Link")</f>
        <v>12Go Link</v>
      </c>
      <c r="E3173" s="2" t="s">
        <v>77</v>
      </c>
    </row>
    <row r="3174">
      <c r="A3174" s="2" t="s">
        <v>2968</v>
      </c>
      <c r="B3174" s="2" t="s">
        <v>3567</v>
      </c>
      <c r="C3174" s="2" t="s">
        <v>3634</v>
      </c>
      <c r="D3174" s="3" t="str">
        <f>HYPERLINK("https://12go.asia/en/travel/taj-mahal/roorkee", "12Go Link")</f>
        <v>12Go Link</v>
      </c>
      <c r="E3174" s="2" t="s">
        <v>77</v>
      </c>
    </row>
    <row r="3175">
      <c r="A3175" s="2" t="s">
        <v>2968</v>
      </c>
      <c r="B3175" s="2" t="s">
        <v>2797</v>
      </c>
      <c r="C3175" s="2" t="s">
        <v>3635</v>
      </c>
      <c r="D3175" s="3" t="str">
        <f>HYPERLINK("https://12go.asia/en/travel/taj-mahal/sabarmati", "12Go Link")</f>
        <v>12Go Link</v>
      </c>
      <c r="E3175" s="2" t="s">
        <v>77</v>
      </c>
    </row>
    <row r="3176">
      <c r="A3176" s="2" t="s">
        <v>2968</v>
      </c>
      <c r="B3176" s="2" t="s">
        <v>2782</v>
      </c>
      <c r="C3176" s="2" t="s">
        <v>3636</v>
      </c>
      <c r="D3176" s="3" t="str">
        <f>HYPERLINK("https://12go.asia/en/travel/taj-mahal/tamil-nadu", "12Go Link")</f>
        <v>12Go Link</v>
      </c>
      <c r="E3176" s="2" t="s">
        <v>77</v>
      </c>
    </row>
    <row r="3177">
      <c r="A3177" s="2" t="s">
        <v>3637</v>
      </c>
      <c r="B3177" s="2" t="s">
        <v>2752</v>
      </c>
      <c r="C3177" s="2" t="s">
        <v>3638</v>
      </c>
      <c r="D3177" s="3" t="str">
        <f>HYPERLINK("https://12go.asia/en/travel/talcher/raipur", "12Go Link")</f>
        <v>12Go Link</v>
      </c>
      <c r="E3177" s="2" t="s">
        <v>77</v>
      </c>
    </row>
    <row r="3178">
      <c r="A3178" s="2" t="s">
        <v>2447</v>
      </c>
      <c r="B3178" s="2" t="s">
        <v>2675</v>
      </c>
      <c r="C3178" s="2" t="s">
        <v>3639</v>
      </c>
      <c r="D3178" s="3" t="str">
        <f>HYPERLINK("https://12go.asia/en/travel/tambaram/erode", "12Go Link")</f>
        <v>12Go Link</v>
      </c>
      <c r="E3178" s="2" t="s">
        <v>77</v>
      </c>
    </row>
    <row r="3179">
      <c r="A3179" s="2" t="s">
        <v>2447</v>
      </c>
      <c r="B3179" s="2" t="s">
        <v>2530</v>
      </c>
      <c r="C3179" s="2" t="s">
        <v>3640</v>
      </c>
      <c r="D3179" s="3" t="str">
        <f>HYPERLINK("https://12go.asia/en/travel/tambaram/kannur", "12Go Link")</f>
        <v>12Go Link</v>
      </c>
      <c r="E3179" s="2" t="s">
        <v>77</v>
      </c>
    </row>
    <row r="3180">
      <c r="A3180" s="2" t="s">
        <v>2447</v>
      </c>
      <c r="B3180" s="2" t="s">
        <v>3641</v>
      </c>
      <c r="C3180" s="2" t="s">
        <v>3642</v>
      </c>
      <c r="D3180" s="3" t="str">
        <f>HYPERLINK("https://12go.asia/en/travel/tambaram/karaikal", "12Go Link")</f>
        <v>12Go Link</v>
      </c>
      <c r="E3180" s="2" t="s">
        <v>77</v>
      </c>
    </row>
    <row r="3181">
      <c r="A3181" s="2" t="s">
        <v>2447</v>
      </c>
      <c r="B3181" s="2" t="s">
        <v>2861</v>
      </c>
      <c r="C3181" s="2" t="s">
        <v>3643</v>
      </c>
      <c r="D3181" s="3" t="str">
        <f>HYPERLINK("https://12go.asia/en/travel/tambaram/nagpur", "12Go Link")</f>
        <v>12Go Link</v>
      </c>
      <c r="E3181" s="2" t="s">
        <v>77</v>
      </c>
    </row>
    <row r="3182">
      <c r="A3182" s="2" t="s">
        <v>2447</v>
      </c>
      <c r="B3182" s="2" t="s">
        <v>3644</v>
      </c>
      <c r="C3182" s="2" t="s">
        <v>3645</v>
      </c>
      <c r="D3182" s="3" t="str">
        <f>HYPERLINK("https://12go.asia/en/travel/tambaram/tadipatri", "12Go Link")</f>
        <v>12Go Link</v>
      </c>
      <c r="E3182" s="2" t="s">
        <v>77</v>
      </c>
    </row>
    <row r="3183">
      <c r="A3183" s="2" t="s">
        <v>2447</v>
      </c>
      <c r="B3183" s="2" t="s">
        <v>3646</v>
      </c>
      <c r="C3183" s="2" t="s">
        <v>3647</v>
      </c>
      <c r="D3183" s="3" t="str">
        <f>HYPERLINK("https://12go.asia/en/travel/tambaram/thirunallar-puducherry", "12Go Link")</f>
        <v>12Go Link</v>
      </c>
      <c r="E3183" s="2" t="s">
        <v>77</v>
      </c>
    </row>
    <row r="3184">
      <c r="A3184" s="2" t="s">
        <v>2447</v>
      </c>
      <c r="B3184" s="2" t="s">
        <v>2626</v>
      </c>
      <c r="C3184" s="2" t="s">
        <v>3648</v>
      </c>
      <c r="D3184" s="3" t="str">
        <f>HYPERLINK("https://12go.asia/en/travel/tambaram/west-bengal", "12Go Link")</f>
        <v>12Go Link</v>
      </c>
      <c r="E3184" s="2" t="s">
        <v>77</v>
      </c>
    </row>
    <row r="3185">
      <c r="A3185" s="2" t="s">
        <v>2782</v>
      </c>
      <c r="B3185" s="2" t="s">
        <v>2572</v>
      </c>
      <c r="C3185" s="2" t="s">
        <v>3649</v>
      </c>
      <c r="D3185" s="3" t="str">
        <f>HYPERLINK("https://12go.asia/en/travel/tamil-nadu/bhopal", "12Go Link")</f>
        <v>12Go Link</v>
      </c>
      <c r="E3185" s="2" t="s">
        <v>77</v>
      </c>
    </row>
    <row r="3186">
      <c r="A3186" s="2" t="s">
        <v>2782</v>
      </c>
      <c r="B3186" s="2" t="s">
        <v>2604</v>
      </c>
      <c r="C3186" s="2" t="s">
        <v>3650</v>
      </c>
      <c r="D3186" s="3" t="str">
        <f>HYPERLINK("https://12go.asia/en/travel/satur/chennai-egmore", "12Go Link")</f>
        <v>12Go Link</v>
      </c>
      <c r="E3186" s="2" t="s">
        <v>77</v>
      </c>
    </row>
    <row r="3187">
      <c r="A3187" s="2" t="s">
        <v>2782</v>
      </c>
      <c r="B3187" s="2" t="s">
        <v>3641</v>
      </c>
      <c r="C3187" s="2" t="s">
        <v>3651</v>
      </c>
      <c r="D3187" s="3" t="str">
        <f>HYPERLINK("https://12go.asia/en/travel/tamil-nadu/karaikal", "12Go Link")</f>
        <v>12Go Link</v>
      </c>
      <c r="E3187" s="2" t="s">
        <v>77</v>
      </c>
    </row>
    <row r="3188">
      <c r="A3188" s="2" t="s">
        <v>2782</v>
      </c>
      <c r="B3188" s="2" t="s">
        <v>2750</v>
      </c>
      <c r="C3188" s="2" t="s">
        <v>3652</v>
      </c>
      <c r="D3188" s="3" t="str">
        <f>HYPERLINK("https://12go.asia/en/travel/tamil-nadu/madhya-pradesh", "12Go Link")</f>
        <v>12Go Link</v>
      </c>
      <c r="E3188" s="2" t="s">
        <v>77</v>
      </c>
    </row>
    <row r="3189">
      <c r="A3189" s="2" t="s">
        <v>2782</v>
      </c>
      <c r="B3189" s="2" t="s">
        <v>3653</v>
      </c>
      <c r="C3189" s="2" t="s">
        <v>3654</v>
      </c>
      <c r="D3189" s="3" t="str">
        <f>HYPERLINK("https://12go.asia/en/travel/tamil-nadu/morappur", "12Go Link")</f>
        <v>12Go Link</v>
      </c>
      <c r="E3189" s="2" t="s">
        <v>77</v>
      </c>
    </row>
    <row r="3190">
      <c r="A3190" s="2" t="s">
        <v>2782</v>
      </c>
      <c r="B3190" s="2" t="s">
        <v>3655</v>
      </c>
      <c r="C3190" s="2" t="s">
        <v>3656</v>
      </c>
      <c r="D3190" s="3" t="str">
        <f>HYPERLINK("https://12go.asia/en/travel/tamil-nadu/ramanathapuram", "12Go Link")</f>
        <v>12Go Link</v>
      </c>
      <c r="E3190" s="2" t="s">
        <v>77</v>
      </c>
    </row>
    <row r="3191">
      <c r="A3191" s="2" t="s">
        <v>2782</v>
      </c>
      <c r="B3191" s="2" t="s">
        <v>3646</v>
      </c>
      <c r="C3191" s="2" t="s">
        <v>3657</v>
      </c>
      <c r="D3191" s="3" t="str">
        <f>HYPERLINK("https://12go.asia/en/travel/tamil-nadu/thirunallar-puducherry", "12Go Link")</f>
        <v>12Go Link</v>
      </c>
      <c r="E3191" s="2" t="s">
        <v>77</v>
      </c>
    </row>
    <row r="3192">
      <c r="A3192" s="2" t="s">
        <v>3242</v>
      </c>
      <c r="B3192" s="2" t="s">
        <v>2516</v>
      </c>
      <c r="C3192" s="2" t="s">
        <v>3658</v>
      </c>
      <c r="D3192" s="3" t="str">
        <f>HYPERLINK("https://12go.asia/en/travel/tandur/ksr-bangalore", "12Go Link")</f>
        <v>12Go Link</v>
      </c>
      <c r="E3192" s="2" t="s">
        <v>77</v>
      </c>
    </row>
    <row r="3193">
      <c r="A3193" s="2" t="s">
        <v>3242</v>
      </c>
      <c r="B3193" s="2" t="s">
        <v>2516</v>
      </c>
      <c r="C3193" s="2" t="s">
        <v>3659</v>
      </c>
      <c r="D3193" s="3" t="str">
        <f>HYPERLINK("https://12go.asia/en/travel/tandur/yesvantpur", "12Go Link")</f>
        <v>12Go Link</v>
      </c>
      <c r="E3193" s="2" t="s">
        <v>77</v>
      </c>
    </row>
    <row r="3194">
      <c r="A3194" s="2" t="s">
        <v>3242</v>
      </c>
      <c r="B3194" s="2" t="s">
        <v>2516</v>
      </c>
      <c r="C3194" s="2" t="s">
        <v>3660</v>
      </c>
      <c r="D3194" s="3" t="str">
        <f>HYPERLINK("https://12go.asia/en/travel/tandur/bangalore", "12Go Link")</f>
        <v>12Go Link</v>
      </c>
      <c r="E3194" s="2" t="s">
        <v>77</v>
      </c>
    </row>
    <row r="3195">
      <c r="A3195" s="2" t="s">
        <v>2777</v>
      </c>
      <c r="B3195" s="2" t="s">
        <v>2516</v>
      </c>
      <c r="C3195" s="2" t="s">
        <v>3661</v>
      </c>
      <c r="D3195" s="3" t="str">
        <f>HYPERLINK("https://12go.asia/en/travel/tatanagar/yesvantpur", "12Go Link")</f>
        <v>12Go Link</v>
      </c>
      <c r="E3195" s="2" t="s">
        <v>77</v>
      </c>
    </row>
    <row r="3196">
      <c r="A3196" s="2" t="s">
        <v>2777</v>
      </c>
      <c r="B3196" s="2" t="s">
        <v>2976</v>
      </c>
      <c r="C3196" s="2" t="s">
        <v>3662</v>
      </c>
      <c r="D3196" s="3" t="str">
        <f>HYPERLINK("https://12go.asia/en/travel/tatanagar/buxar", "12Go Link")</f>
        <v>12Go Link</v>
      </c>
      <c r="E3196" s="2" t="s">
        <v>77</v>
      </c>
    </row>
    <row r="3197">
      <c r="A3197" s="2" t="s">
        <v>2641</v>
      </c>
      <c r="B3197" s="2" t="s">
        <v>3592</v>
      </c>
      <c r="C3197" s="2" t="s">
        <v>3663</v>
      </c>
      <c r="D3197" s="3" t="str">
        <f>HYPERLINK("https://12go.asia/en/travel/telangana/aler", "12Go Link")</f>
        <v>12Go Link</v>
      </c>
      <c r="E3197" s="2" t="s">
        <v>77</v>
      </c>
    </row>
    <row r="3198">
      <c r="A3198" s="2" t="s">
        <v>2641</v>
      </c>
      <c r="B3198" s="2" t="s">
        <v>2516</v>
      </c>
      <c r="C3198" s="2" t="s">
        <v>3664</v>
      </c>
      <c r="D3198" s="3" t="str">
        <f>HYPERLINK("https://12go.asia/en/travel/ichoda/bangalore", "12Go Link")</f>
        <v>12Go Link</v>
      </c>
      <c r="E3198" s="2" t="s">
        <v>25</v>
      </c>
    </row>
    <row r="3199">
      <c r="A3199" s="2" t="s">
        <v>2641</v>
      </c>
      <c r="B3199" s="2" t="s">
        <v>3124</v>
      </c>
      <c r="C3199" s="2" t="s">
        <v>3665</v>
      </c>
      <c r="D3199" s="3" t="str">
        <f>HYPERLINK("https://12go.asia/en/travel/adilabad/khammam", "12Go Link")</f>
        <v>12Go Link</v>
      </c>
      <c r="E3199" s="2" t="s">
        <v>77</v>
      </c>
    </row>
    <row r="3200">
      <c r="A3200" s="2" t="s">
        <v>3666</v>
      </c>
      <c r="B3200" s="2" t="s">
        <v>2661</v>
      </c>
      <c r="C3200" s="2" t="s">
        <v>3667</v>
      </c>
      <c r="D3200" s="3" t="str">
        <f>HYPERLINK("https://12go.asia/en/travel/tiruchchirappalli-junction/nagapattinam-junction", "12Go Link")</f>
        <v>12Go Link</v>
      </c>
      <c r="E3200" s="2" t="s">
        <v>77</v>
      </c>
    </row>
    <row r="3201">
      <c r="A3201" s="2" t="s">
        <v>3116</v>
      </c>
      <c r="B3201" s="2" t="s">
        <v>3006</v>
      </c>
      <c r="C3201" s="2" t="s">
        <v>3668</v>
      </c>
      <c r="D3201" s="3" t="str">
        <f>HYPERLINK("https://12go.asia/en/travel/tiruppur/jolarpet", "12Go Link")</f>
        <v>12Go Link</v>
      </c>
      <c r="E3201" s="2" t="s">
        <v>77</v>
      </c>
    </row>
    <row r="3202">
      <c r="A3202" s="2" t="s">
        <v>3116</v>
      </c>
      <c r="B3202" s="2" t="s">
        <v>3006</v>
      </c>
      <c r="C3202" s="2" t="s">
        <v>3669</v>
      </c>
      <c r="D3202" s="3" t="str">
        <f>HYPERLINK("https://12go.asia/en/travel/tiruppur/jolarpettai", "12Go Link")</f>
        <v>12Go Link</v>
      </c>
      <c r="E3202" s="2" t="s">
        <v>77</v>
      </c>
    </row>
    <row r="3203">
      <c r="A3203" s="2" t="s">
        <v>3116</v>
      </c>
      <c r="B3203" s="2" t="s">
        <v>2668</v>
      </c>
      <c r="C3203" s="2" t="s">
        <v>3670</v>
      </c>
      <c r="D3203" s="3" t="str">
        <f>HYPERLINK("https://12go.asia/en/travel/tiruppur/lokmanya-tilak-term", "12Go Link")</f>
        <v>12Go Link</v>
      </c>
      <c r="E3203" s="2" t="s">
        <v>77</v>
      </c>
    </row>
    <row r="3204">
      <c r="A3204" s="2" t="s">
        <v>3671</v>
      </c>
      <c r="B3204" s="2" t="s">
        <v>3253</v>
      </c>
      <c r="C3204" s="2" t="s">
        <v>3672</v>
      </c>
      <c r="D3204" s="3" t="str">
        <f>HYPERLINK("https://12go.asia/en/travel/tirur/kochuveli", "12Go Link")</f>
        <v>12Go Link</v>
      </c>
      <c r="E3204" s="2" t="s">
        <v>77</v>
      </c>
    </row>
    <row r="3205">
      <c r="A3205" s="2" t="s">
        <v>3671</v>
      </c>
      <c r="B3205" s="2" t="s">
        <v>3253</v>
      </c>
      <c r="C3205" s="2" t="s">
        <v>3673</v>
      </c>
      <c r="D3205" s="3" t="str">
        <f>HYPERLINK("https://12go.asia/en/travel/tirur/trivandrum-central", "12Go Link")</f>
        <v>12Go Link</v>
      </c>
      <c r="E3205" s="2" t="s">
        <v>77</v>
      </c>
    </row>
    <row r="3206">
      <c r="A3206" s="2" t="s">
        <v>3253</v>
      </c>
      <c r="B3206" s="2" t="s">
        <v>2604</v>
      </c>
      <c r="C3206" s="2" t="s">
        <v>3674</v>
      </c>
      <c r="D3206" s="3" t="str">
        <f>HYPERLINK("https://12go.asia/en/travel/kochuveli/perambur", "12Go Link")</f>
        <v>12Go Link</v>
      </c>
      <c r="E3206" s="2" t="s">
        <v>77</v>
      </c>
    </row>
    <row r="3207">
      <c r="A3207" s="2" t="s">
        <v>3253</v>
      </c>
      <c r="B3207" s="2" t="s">
        <v>2768</v>
      </c>
      <c r="C3207" s="2" t="s">
        <v>3675</v>
      </c>
      <c r="D3207" s="3" t="str">
        <f>HYPERLINK("https://12go.asia/en/travel/trivandrum-central/dindigul-junction", "12Go Link")</f>
        <v>12Go Link</v>
      </c>
      <c r="E3207" s="2" t="s">
        <v>77</v>
      </c>
    </row>
    <row r="3208">
      <c r="A3208" s="2" t="s">
        <v>3253</v>
      </c>
      <c r="B3208" s="2" t="s">
        <v>3414</v>
      </c>
      <c r="C3208" s="2" t="s">
        <v>3676</v>
      </c>
      <c r="D3208" s="3" t="str">
        <f>HYPERLINK("https://12go.asia/en/travel/trivandrum-central/palani", "12Go Link")</f>
        <v>12Go Link</v>
      </c>
      <c r="E3208" s="2" t="s">
        <v>77</v>
      </c>
    </row>
    <row r="3209">
      <c r="A3209" s="2" t="s">
        <v>3253</v>
      </c>
      <c r="B3209" s="2" t="s">
        <v>3414</v>
      </c>
      <c r="C3209" s="2" t="s">
        <v>3677</v>
      </c>
      <c r="D3209" s="3" t="str">
        <f>HYPERLINK("https://12go.asia/en/travel/trivandrum/palani", "12Go Link")</f>
        <v>12Go Link</v>
      </c>
      <c r="E3209" s="2" t="s">
        <v>77</v>
      </c>
    </row>
    <row r="3210">
      <c r="A3210" s="2" t="s">
        <v>3253</v>
      </c>
      <c r="B3210" s="2" t="s">
        <v>3017</v>
      </c>
      <c r="C3210" s="2" t="s">
        <v>3678</v>
      </c>
      <c r="D3210" s="3" t="str">
        <f>HYPERLINK("https://12go.asia/en/travel/kazhakkoottam/puducherry", "12Go Link")</f>
        <v>12Go Link</v>
      </c>
      <c r="E3210" s="2" t="s">
        <v>25</v>
      </c>
    </row>
    <row r="3211">
      <c r="A3211" s="2" t="s">
        <v>2509</v>
      </c>
      <c r="B3211" s="2" t="s">
        <v>2284</v>
      </c>
      <c r="C3211" s="2" t="s">
        <v>3679</v>
      </c>
      <c r="D3211" s="3" t="str">
        <f>HYPERLINK("https://12go.asia/en/travel/tundla-junction/badshahnagar", "12Go Link")</f>
        <v>12Go Link</v>
      </c>
      <c r="E3211" s="2" t="s">
        <v>77</v>
      </c>
    </row>
    <row r="3212">
      <c r="A3212" s="2" t="s">
        <v>3680</v>
      </c>
      <c r="B3212" s="2" t="s">
        <v>3158</v>
      </c>
      <c r="C3212" s="2" t="s">
        <v>3681</v>
      </c>
      <c r="D3212" s="3" t="str">
        <f>HYPERLINK("https://12go.asia/en/travel/udaipur/kosi-kalan", "12Go Link")</f>
        <v>12Go Link</v>
      </c>
      <c r="E3212" s="2" t="s">
        <v>77</v>
      </c>
    </row>
    <row r="3213">
      <c r="A3213" s="2" t="s">
        <v>3682</v>
      </c>
      <c r="B3213" s="2" t="s">
        <v>2622</v>
      </c>
      <c r="C3213" s="2" t="s">
        <v>3683</v>
      </c>
      <c r="D3213" s="3" t="str">
        <f>HYPERLINK("https://12go.asia/en/travel/udupi/canacona-goa", "12Go Link")</f>
        <v>12Go Link</v>
      </c>
      <c r="E3213" s="2" t="s">
        <v>77</v>
      </c>
    </row>
    <row r="3214">
      <c r="A3214" s="2" t="s">
        <v>3682</v>
      </c>
      <c r="B3214" s="2" t="s">
        <v>2527</v>
      </c>
      <c r="C3214" s="2" t="s">
        <v>3684</v>
      </c>
      <c r="D3214" s="3" t="str">
        <f>HYPERLINK("https://12go.asia/en/travel/udupi/kanhangad", "12Go Link")</f>
        <v>12Go Link</v>
      </c>
      <c r="E3214" s="2" t="s">
        <v>77</v>
      </c>
    </row>
    <row r="3215">
      <c r="A3215" s="2" t="s">
        <v>3682</v>
      </c>
      <c r="B3215" s="2" t="s">
        <v>3253</v>
      </c>
      <c r="C3215" s="2" t="s">
        <v>3685</v>
      </c>
      <c r="D3215" s="3" t="str">
        <f>HYPERLINK("https://12go.asia/en/travel/udupi/trivandrum-central", "12Go Link")</f>
        <v>12Go Link</v>
      </c>
      <c r="E3215" s="2" t="s">
        <v>77</v>
      </c>
    </row>
    <row r="3216">
      <c r="A3216" s="2" t="s">
        <v>3300</v>
      </c>
      <c r="B3216" s="2" t="s">
        <v>3129</v>
      </c>
      <c r="C3216" s="2" t="s">
        <v>3686</v>
      </c>
      <c r="D3216" s="3" t="str">
        <f>HYPERLINK("https://12go.asia/en/travel/ujjain/khandwa", "12Go Link")</f>
        <v>12Go Link</v>
      </c>
      <c r="E3216" s="2" t="s">
        <v>77</v>
      </c>
    </row>
    <row r="3217">
      <c r="A3217" s="2" t="s">
        <v>2746</v>
      </c>
      <c r="B3217" s="2" t="s">
        <v>2744</v>
      </c>
      <c r="C3217" s="2" t="s">
        <v>3687</v>
      </c>
      <c r="D3217" s="3" t="str">
        <f>HYPERLINK("https://12go.asia/en/travel/chandpur-siau/lucknow-ne", "12Go Link")</f>
        <v>12Go Link</v>
      </c>
      <c r="E3217" s="2" t="s">
        <v>77</v>
      </c>
    </row>
    <row r="3218">
      <c r="A3218" s="2" t="s">
        <v>2367</v>
      </c>
      <c r="B3218" s="2" t="s">
        <v>2570</v>
      </c>
      <c r="C3218" s="2" t="s">
        <v>3688</v>
      </c>
      <c r="D3218" s="3" t="str">
        <f>HYPERLINK("https://12go.asia/en/travel/vapi/abu-road", "12Go Link")</f>
        <v>12Go Link</v>
      </c>
      <c r="E3218" s="2" t="s">
        <v>77</v>
      </c>
    </row>
    <row r="3219">
      <c r="A3219" s="2" t="s">
        <v>2367</v>
      </c>
      <c r="B3219" s="2" t="s">
        <v>2550</v>
      </c>
      <c r="C3219" s="2" t="s">
        <v>3689</v>
      </c>
      <c r="D3219" s="3" t="str">
        <f>HYPERLINK("https://12go.asia/en/travel/vapi/mughal-sarai-junction", "12Go Link")</f>
        <v>12Go Link</v>
      </c>
      <c r="E3219" s="2" t="s">
        <v>77</v>
      </c>
    </row>
    <row r="3220">
      <c r="A3220" s="2" t="s">
        <v>2367</v>
      </c>
      <c r="B3220" s="2" t="s">
        <v>2550</v>
      </c>
      <c r="C3220" s="2" t="s">
        <v>3690</v>
      </c>
      <c r="D3220" s="3" t="str">
        <f>HYPERLINK("https://12go.asia/en/travel/vapi/varanasi", "12Go Link")</f>
        <v>12Go Link</v>
      </c>
      <c r="E3220" s="2" t="s">
        <v>77</v>
      </c>
    </row>
    <row r="3221">
      <c r="A3221" s="2" t="s">
        <v>2550</v>
      </c>
      <c r="B3221" s="2" t="s">
        <v>2281</v>
      </c>
      <c r="C3221" s="2" t="s">
        <v>3691</v>
      </c>
      <c r="D3221" s="3" t="str">
        <f>HYPERLINK("https://12go.asia/en/travel/deen-dayal-upadhyaya-jn/agra-cantt", "12Go Link")</f>
        <v>12Go Link</v>
      </c>
      <c r="E3221" s="2" t="s">
        <v>77</v>
      </c>
    </row>
    <row r="3222">
      <c r="A3222" s="2" t="s">
        <v>2550</v>
      </c>
      <c r="B3222" s="2" t="s">
        <v>2282</v>
      </c>
      <c r="C3222" s="2" t="s">
        <v>3692</v>
      </c>
      <c r="D3222" s="3" t="str">
        <f>HYPERLINK("https://12go.asia/en/travel/deen-dayal-upadhyaya-jn/ayodhya", "12Go Link")</f>
        <v>12Go Link</v>
      </c>
      <c r="E3222" s="2" t="s">
        <v>77</v>
      </c>
    </row>
    <row r="3223">
      <c r="A3223" s="2" t="s">
        <v>2550</v>
      </c>
      <c r="B3223" s="2" t="s">
        <v>3693</v>
      </c>
      <c r="C3223" s="2" t="s">
        <v>3694</v>
      </c>
      <c r="D3223" s="3" t="str">
        <f>HYPERLINK("https://12go.asia/en/travel/varanasi-jn/bikaner-jn", "12Go Link")</f>
        <v>12Go Link</v>
      </c>
      <c r="E3223" s="2" t="s">
        <v>77</v>
      </c>
    </row>
    <row r="3224">
      <c r="A3224" s="2" t="s">
        <v>2550</v>
      </c>
      <c r="B3224" s="2" t="s">
        <v>3693</v>
      </c>
      <c r="C3224" s="2" t="s">
        <v>3695</v>
      </c>
      <c r="D3224" s="3" t="str">
        <f>HYPERLINK("https://12go.asia/en/travel/varanasi/bikaner", "12Go Link")</f>
        <v>12Go Link</v>
      </c>
      <c r="E3224" s="2" t="s">
        <v>77</v>
      </c>
    </row>
    <row r="3225">
      <c r="A3225" s="2" t="s">
        <v>2550</v>
      </c>
      <c r="B3225" s="2" t="s">
        <v>2743</v>
      </c>
      <c r="C3225" s="2" t="s">
        <v>3696</v>
      </c>
      <c r="D3225" s="3" t="str">
        <f>HYPERLINK("https://12go.asia/en/travel/mughal-sarai-junction/deoghar-junction", "12Go Link")</f>
        <v>12Go Link</v>
      </c>
      <c r="E3225" s="2" t="s">
        <v>77</v>
      </c>
    </row>
    <row r="3226">
      <c r="A3226" s="2" t="s">
        <v>2550</v>
      </c>
      <c r="B3226" s="2" t="s">
        <v>2291</v>
      </c>
      <c r="C3226" s="2" t="s">
        <v>3697</v>
      </c>
      <c r="D3226" s="3" t="str">
        <f>HYPERLINK("https://12go.asia/en/travel/deen-dayal-upadhyaya-jn/ayodhya-cantt", "12Go Link")</f>
        <v>12Go Link</v>
      </c>
      <c r="E3226" s="2" t="s">
        <v>77</v>
      </c>
    </row>
    <row r="3227">
      <c r="A3227" s="2" t="s">
        <v>2550</v>
      </c>
      <c r="B3227" s="2" t="s">
        <v>2800</v>
      </c>
      <c r="C3227" s="2" t="s">
        <v>3698</v>
      </c>
      <c r="D3227" s="3" t="str">
        <f>HYPERLINK("https://12go.asia/en/travel/deen-dayal-upadhyaya-jn/gaya-jn", "12Go Link")</f>
        <v>12Go Link</v>
      </c>
      <c r="E3227" s="2" t="s">
        <v>77</v>
      </c>
    </row>
    <row r="3228">
      <c r="A3228" s="2" t="s">
        <v>2550</v>
      </c>
      <c r="B3228" s="2" t="s">
        <v>2832</v>
      </c>
      <c r="C3228" s="2" t="s">
        <v>3699</v>
      </c>
      <c r="D3228" s="3" t="str">
        <f>HYPERLINK("https://12go.asia/en/travel/banaras/jhusi", "12Go Link")</f>
        <v>12Go Link</v>
      </c>
      <c r="E3228" s="2" t="s">
        <v>77</v>
      </c>
    </row>
    <row r="3229">
      <c r="A3229" s="2" t="s">
        <v>2550</v>
      </c>
      <c r="B3229" s="2" t="s">
        <v>2832</v>
      </c>
      <c r="C3229" s="2" t="s">
        <v>3700</v>
      </c>
      <c r="D3229" s="3" t="str">
        <f>HYPERLINK("https://12go.asia/en/travel/varanasi-jn/jhusi", "12Go Link")</f>
        <v>12Go Link</v>
      </c>
      <c r="E3229" s="2" t="s">
        <v>77</v>
      </c>
    </row>
    <row r="3230">
      <c r="A3230" s="2" t="s">
        <v>2550</v>
      </c>
      <c r="B3230" s="2" t="s">
        <v>2832</v>
      </c>
      <c r="C3230" s="2" t="s">
        <v>3701</v>
      </c>
      <c r="D3230" s="3" t="str">
        <f>HYPERLINK("https://12go.asia/en/travel/varanasi/jhusi", "12Go Link")</f>
        <v>12Go Link</v>
      </c>
      <c r="E3230" s="2" t="s">
        <v>77</v>
      </c>
    </row>
    <row r="3231">
      <c r="A3231" s="2" t="s">
        <v>2550</v>
      </c>
      <c r="B3231" s="2" t="s">
        <v>2866</v>
      </c>
      <c r="C3231" s="2" t="s">
        <v>3702</v>
      </c>
      <c r="D3231" s="3" t="str">
        <f>HYPERLINK("https://12go.asia/en/travel/deen-dayal-upadhyaya-jn/ernakulam-town-north", "12Go Link")</f>
        <v>12Go Link</v>
      </c>
      <c r="E3231" s="2" t="s">
        <v>77</v>
      </c>
    </row>
    <row r="3232">
      <c r="A3232" s="2" t="s">
        <v>2550</v>
      </c>
      <c r="B3232" s="2" t="s">
        <v>3096</v>
      </c>
      <c r="C3232" s="2" t="s">
        <v>3703</v>
      </c>
      <c r="D3232" s="3" t="str">
        <f>HYPERLINK("https://12go.asia/en/travel/deen-dayal-upadhyaya-jn/sealdah", "12Go Link")</f>
        <v>12Go Link</v>
      </c>
      <c r="E3232" s="2" t="s">
        <v>77</v>
      </c>
    </row>
    <row r="3233">
      <c r="A3233" s="2" t="s">
        <v>2550</v>
      </c>
      <c r="B3233" s="2" t="s">
        <v>3704</v>
      </c>
      <c r="C3233" s="2" t="s">
        <v>3705</v>
      </c>
      <c r="D3233" s="3" t="str">
        <f>HYPERLINK("https://12go.asia/en/travel/deen-dayal-upadhyaya-jn/laksar-junction", "12Go Link")</f>
        <v>12Go Link</v>
      </c>
      <c r="E3233" s="2" t="s">
        <v>77</v>
      </c>
    </row>
    <row r="3234">
      <c r="A3234" s="2" t="s">
        <v>2550</v>
      </c>
      <c r="B3234" s="2" t="s">
        <v>3704</v>
      </c>
      <c r="C3234" s="2" t="s">
        <v>3706</v>
      </c>
      <c r="D3234" s="3" t="str">
        <f>HYPERLINK("https://12go.asia/en/travel/varanasi/laksar", "12Go Link")</f>
        <v>12Go Link</v>
      </c>
      <c r="E3234" s="2" t="s">
        <v>77</v>
      </c>
    </row>
    <row r="3235">
      <c r="A3235" s="2" t="s">
        <v>2550</v>
      </c>
      <c r="B3235" s="2" t="s">
        <v>2744</v>
      </c>
      <c r="C3235" s="2" t="s">
        <v>3707</v>
      </c>
      <c r="D3235" s="3" t="str">
        <f>HYPERLINK("https://12go.asia/en/travel/deen-dayal-upadhyaya-jn/lucknow-nr", "12Go Link")</f>
        <v>12Go Link</v>
      </c>
      <c r="E3235" s="2" t="s">
        <v>77</v>
      </c>
    </row>
    <row r="3236">
      <c r="A3236" s="2" t="s">
        <v>2550</v>
      </c>
      <c r="B3236" s="2" t="s">
        <v>2346</v>
      </c>
      <c r="C3236" s="2" t="s">
        <v>3708</v>
      </c>
      <c r="D3236" s="3" t="str">
        <f>HYPERLINK("https://12go.asia/en/travel/deen-dayal-upadhyaya-jn/mathura-jn", "12Go Link")</f>
        <v>12Go Link</v>
      </c>
      <c r="E3236" s="2" t="s">
        <v>77</v>
      </c>
    </row>
    <row r="3237">
      <c r="A3237" s="2" t="s">
        <v>2550</v>
      </c>
      <c r="B3237" s="2" t="s">
        <v>2405</v>
      </c>
      <c r="C3237" s="2" t="s">
        <v>3709</v>
      </c>
      <c r="D3237" s="3" t="str">
        <f>HYPERLINK("https://12go.asia/en/travel/deen-dayal-upadhyaya-jn/najibabad-junction", "12Go Link")</f>
        <v>12Go Link</v>
      </c>
      <c r="E3237" s="2" t="s">
        <v>77</v>
      </c>
    </row>
    <row r="3238">
      <c r="A3238" s="2" t="s">
        <v>2550</v>
      </c>
      <c r="B3238" s="2" t="s">
        <v>2405</v>
      </c>
      <c r="C3238" s="2" t="s">
        <v>3710</v>
      </c>
      <c r="D3238" s="3" t="str">
        <f>HYPERLINK("https://12go.asia/en/travel/varanasi/najibabad", "12Go Link")</f>
        <v>12Go Link</v>
      </c>
      <c r="E3238" s="2" t="s">
        <v>77</v>
      </c>
    </row>
    <row r="3239">
      <c r="A3239" s="2" t="s">
        <v>2550</v>
      </c>
      <c r="B3239" s="2" t="s">
        <v>2377</v>
      </c>
      <c r="C3239" s="2" t="s">
        <v>3711</v>
      </c>
      <c r="D3239" s="3" t="str">
        <f>HYPERLINK("https://12go.asia/en/travel/deen-dayal-upadhyaya-jn/prayagraj-junction", "12Go Link")</f>
        <v>12Go Link</v>
      </c>
      <c r="E3239" s="2" t="s">
        <v>77</v>
      </c>
    </row>
    <row r="3240">
      <c r="A3240" s="2" t="s">
        <v>2550</v>
      </c>
      <c r="B3240" s="2" t="s">
        <v>2827</v>
      </c>
      <c r="C3240" s="2" t="s">
        <v>3712</v>
      </c>
      <c r="D3240" s="3" t="str">
        <f>HYPERLINK("https://12go.asia/en/travel/deen-dayal-upadhyaya-jn/secunderabad", "12Go Link")</f>
        <v>12Go Link</v>
      </c>
      <c r="E3240" s="2" t="s">
        <v>77</v>
      </c>
    </row>
    <row r="3241">
      <c r="A3241" s="2" t="s">
        <v>2550</v>
      </c>
      <c r="B3241" s="2" t="s">
        <v>2509</v>
      </c>
      <c r="C3241" s="2" t="s">
        <v>3713</v>
      </c>
      <c r="D3241" s="3" t="str">
        <f>HYPERLINK("https://12go.asia/en/travel/deen-dayal-upadhyaya-jn/tundla-junction", "12Go Link")</f>
        <v>12Go Link</v>
      </c>
      <c r="E3241" s="2" t="s">
        <v>77</v>
      </c>
    </row>
    <row r="3242">
      <c r="A3242" s="2" t="s">
        <v>2550</v>
      </c>
      <c r="B3242" s="2" t="s">
        <v>2550</v>
      </c>
      <c r="C3242" s="2" t="s">
        <v>3714</v>
      </c>
      <c r="D3242" s="3" t="str">
        <f>HYPERLINK("https://12go.asia/en/travel/banaras/deen-dayal-upadhyaya-jn", "12Go Link")</f>
        <v>12Go Link</v>
      </c>
      <c r="E3242" s="2" t="s">
        <v>77</v>
      </c>
    </row>
    <row r="3243">
      <c r="A3243" s="2" t="s">
        <v>2550</v>
      </c>
      <c r="B3243" s="2" t="s">
        <v>2550</v>
      </c>
      <c r="C3243" s="2" t="s">
        <v>3715</v>
      </c>
      <c r="D3243" s="3" t="str">
        <f>HYPERLINK("https://12go.asia/en/travel/deen-dayal-upadhyaya-jn/banaras", "12Go Link")</f>
        <v>12Go Link</v>
      </c>
      <c r="E3243" s="2" t="s">
        <v>77</v>
      </c>
    </row>
    <row r="3244">
      <c r="A3244" s="2" t="s">
        <v>2550</v>
      </c>
      <c r="B3244" s="2" t="s">
        <v>2550</v>
      </c>
      <c r="C3244" s="2" t="s">
        <v>3716</v>
      </c>
      <c r="D3244" s="3" t="str">
        <f>HYPERLINK("https://12go.asia/en/travel/deen-dayal-upadhyaya-jn/varanasi-jn", "12Go Link")</f>
        <v>12Go Link</v>
      </c>
      <c r="E3244" s="2" t="s">
        <v>77</v>
      </c>
    </row>
    <row r="3245">
      <c r="A3245" s="2" t="s">
        <v>2550</v>
      </c>
      <c r="B3245" s="2" t="s">
        <v>2550</v>
      </c>
      <c r="C3245" s="2" t="s">
        <v>3717</v>
      </c>
      <c r="D3245" s="3" t="str">
        <f>HYPERLINK("https://12go.asia/en/travel/varanasi-jn/deen-dayal-upadhyaya-jn", "12Go Link")</f>
        <v>12Go Link</v>
      </c>
      <c r="E3245" s="2" t="s">
        <v>77</v>
      </c>
    </row>
    <row r="3246">
      <c r="A3246" s="2" t="s">
        <v>3718</v>
      </c>
      <c r="B3246" s="2" t="s">
        <v>2618</v>
      </c>
      <c r="C3246" s="2" t="s">
        <v>3719</v>
      </c>
      <c r="D3246" s="3" t="str">
        <f>HYPERLINK("https://12go.asia/en/travel/vidisha/habibganj", "12Go Link")</f>
        <v>12Go Link</v>
      </c>
      <c r="E3246" s="2" t="s">
        <v>77</v>
      </c>
    </row>
    <row r="3247">
      <c r="A3247" s="2" t="s">
        <v>2423</v>
      </c>
      <c r="B3247" s="2" t="s">
        <v>2418</v>
      </c>
      <c r="C3247" s="2" t="s">
        <v>3720</v>
      </c>
      <c r="D3247" s="3" t="str">
        <f>HYPERLINK("https://12go.asia/en/travel/vijayawada-jn/mancherial", "12Go Link")</f>
        <v>12Go Link</v>
      </c>
      <c r="E3247" s="2" t="s">
        <v>77</v>
      </c>
    </row>
    <row r="3248">
      <c r="A3248" s="2" t="s">
        <v>2423</v>
      </c>
      <c r="B3248" s="2" t="s">
        <v>2418</v>
      </c>
      <c r="C3248" s="2" t="s">
        <v>3721</v>
      </c>
      <c r="D3248" s="3" t="str">
        <f>HYPERLINK("https://12go.asia/en/travel/vijayawada/manchiryal", "12Go Link")</f>
        <v>12Go Link</v>
      </c>
      <c r="E3248" s="2" t="s">
        <v>77</v>
      </c>
    </row>
    <row r="3249">
      <c r="A3249" s="2" t="s">
        <v>2423</v>
      </c>
      <c r="B3249" s="2" t="s">
        <v>3155</v>
      </c>
      <c r="C3249" s="2" t="s">
        <v>3722</v>
      </c>
      <c r="D3249" s="3" t="str">
        <f>HYPERLINK("https://12go.asia/en/travel/vijayawada-jn/simhachalam", "12Go Link")</f>
        <v>12Go Link</v>
      </c>
      <c r="E3249" s="2" t="s">
        <v>77</v>
      </c>
    </row>
    <row r="3250">
      <c r="A3250" s="2" t="s">
        <v>3369</v>
      </c>
      <c r="B3250" s="2" t="s">
        <v>2970</v>
      </c>
      <c r="C3250" s="2" t="s">
        <v>3723</v>
      </c>
      <c r="D3250" s="3" t="str">
        <f>HYPERLINK("https://12go.asia/en/travel/viramgam-junction/hapa", "12Go Link")</f>
        <v>12Go Link</v>
      </c>
      <c r="E3250" s="2" t="s">
        <v>77</v>
      </c>
    </row>
    <row r="3251">
      <c r="A3251" s="2" t="s">
        <v>3369</v>
      </c>
      <c r="B3251" s="2" t="s">
        <v>2970</v>
      </c>
      <c r="C3251" s="2" t="s">
        <v>3724</v>
      </c>
      <c r="D3251" s="3" t="str">
        <f>HYPERLINK("https://12go.asia/en/travel/viramgam-junction/jamnagar", "12Go Link")</f>
        <v>12Go Link</v>
      </c>
      <c r="E3251" s="2" t="s">
        <v>77</v>
      </c>
    </row>
    <row r="3252">
      <c r="A3252" s="2" t="s">
        <v>3369</v>
      </c>
      <c r="B3252" s="2" t="s">
        <v>2970</v>
      </c>
      <c r="C3252" s="2" t="s">
        <v>3725</v>
      </c>
      <c r="D3252" s="3" t="str">
        <f>HYPERLINK("https://12go.asia/en/travel/viramgam/jamnagar", "12Go Link")</f>
        <v>12Go Link</v>
      </c>
      <c r="E3252" s="2" t="s">
        <v>77</v>
      </c>
    </row>
    <row r="3253">
      <c r="A3253" s="2" t="s">
        <v>3543</v>
      </c>
      <c r="B3253" s="2" t="s">
        <v>2883</v>
      </c>
      <c r="C3253" s="2" t="s">
        <v>3726</v>
      </c>
      <c r="D3253" s="3" t="str">
        <f>HYPERLINK("https://12go.asia/en/travel/vizianagram-junction/howrah", "12Go Link")</f>
        <v>12Go Link</v>
      </c>
      <c r="E3253" s="2" t="s">
        <v>77</v>
      </c>
    </row>
    <row r="3254">
      <c r="A3254" s="2" t="s">
        <v>3543</v>
      </c>
      <c r="B3254" s="2" t="s">
        <v>2883</v>
      </c>
      <c r="C3254" s="2" t="s">
        <v>3727</v>
      </c>
      <c r="D3254" s="3" t="str">
        <f>HYPERLINK("https://12go.asia/en/travel/vizianagram/howrah", "12Go Link")</f>
        <v>12Go Link</v>
      </c>
      <c r="E3254" s="2" t="s">
        <v>77</v>
      </c>
    </row>
    <row r="3255">
      <c r="A3255" s="2" t="s">
        <v>2327</v>
      </c>
      <c r="B3255" s="2" t="s">
        <v>3728</v>
      </c>
      <c r="C3255" s="2" t="s">
        <v>3729</v>
      </c>
      <c r="D3255" s="3" t="str">
        <f>HYPERLINK("https://12go.asia/en/travel/wardha-junction/bhilai", "12Go Link")</f>
        <v>12Go Link</v>
      </c>
      <c r="E3255" s="2" t="s">
        <v>77</v>
      </c>
    </row>
    <row r="3256">
      <c r="A3256" s="2" t="s">
        <v>2327</v>
      </c>
      <c r="B3256" s="2" t="s">
        <v>3728</v>
      </c>
      <c r="C3256" s="2" t="s">
        <v>3730</v>
      </c>
      <c r="D3256" s="3" t="str">
        <f>HYPERLINK("https://12go.asia/en/travel/wardha-junction/bhilai-power-house", "12Go Link")</f>
        <v>12Go Link</v>
      </c>
      <c r="E3256" s="2" t="s">
        <v>77</v>
      </c>
    </row>
    <row r="3257">
      <c r="A3257" s="2" t="s">
        <v>2327</v>
      </c>
      <c r="B3257" s="2" t="s">
        <v>3728</v>
      </c>
      <c r="C3257" s="2" t="s">
        <v>3731</v>
      </c>
      <c r="D3257" s="3" t="str">
        <f>HYPERLINK("https://12go.asia/en/travel/wardha/bhilai", "12Go Link")</f>
        <v>12Go Link</v>
      </c>
      <c r="E3257" s="2" t="s">
        <v>77</v>
      </c>
    </row>
    <row r="3258">
      <c r="A3258" s="2" t="s">
        <v>3732</v>
      </c>
      <c r="B3258" s="2" t="s">
        <v>2380</v>
      </c>
      <c r="C3258" s="2" t="s">
        <v>3733</v>
      </c>
      <c r="D3258" s="3" t="str">
        <f>HYPERLINK("https://12go.asia/en/travel/yamunanagar-jagadhri/haridwar-jn", "12Go Link")</f>
        <v>12Go Link</v>
      </c>
      <c r="E3258" s="2" t="s">
        <v>77</v>
      </c>
    </row>
    <row r="3259">
      <c r="A3259" s="2" t="s">
        <v>3732</v>
      </c>
      <c r="B3259" s="2" t="s">
        <v>2380</v>
      </c>
      <c r="C3259" s="2" t="s">
        <v>3734</v>
      </c>
      <c r="D3259" s="3" t="str">
        <f>HYPERLINK("https://12go.asia/en/travel/yamunanagar-jagadhri/haridwar", "12Go Link")</f>
        <v>12Go Link</v>
      </c>
      <c r="E3259" s="2" t="s">
        <v>77</v>
      </c>
    </row>
    <row r="3260">
      <c r="A3260" s="2" t="s">
        <v>3732</v>
      </c>
      <c r="B3260" s="2" t="s">
        <v>2550</v>
      </c>
      <c r="C3260" s="2" t="s">
        <v>3735</v>
      </c>
      <c r="D3260" s="3" t="str">
        <f>HYPERLINK("https://12go.asia/en/travel/yamunanagar-jagadhri/varanasi", "12Go Link")</f>
        <v>12Go Link</v>
      </c>
      <c r="E3260" s="2" t="s">
        <v>77</v>
      </c>
    </row>
    <row r="3261">
      <c r="A3261" s="2" t="s">
        <v>3732</v>
      </c>
      <c r="B3261" s="2" t="s">
        <v>2550</v>
      </c>
      <c r="C3261" s="2" t="s">
        <v>3736</v>
      </c>
      <c r="D3261" s="3" t="str">
        <f>HYPERLINK("https://12go.asia/en/travel/yamunanagar-jagadhri/varanasi-jn", "12Go Link")</f>
        <v>12Go Link</v>
      </c>
      <c r="E3261" s="2" t="s">
        <v>77</v>
      </c>
    </row>
    <row r="3262">
      <c r="A3262" s="2" t="s">
        <v>3737</v>
      </c>
      <c r="B3262" s="2" t="s">
        <v>3737</v>
      </c>
      <c r="C3262" s="2" t="s">
        <v>3738</v>
      </c>
      <c r="D3262" s="3" t="str">
        <f>HYPERLINK("https://12go.asia/en/travel/Amed-Transfer/Nusa-Dua-Transfer", "12Go Link")</f>
        <v>12Go Link</v>
      </c>
      <c r="E3262" s="2" t="s">
        <v>3739</v>
      </c>
    </row>
    <row r="3263">
      <c r="A3263" s="2" t="s">
        <v>3737</v>
      </c>
      <c r="B3263" s="2" t="s">
        <v>3737</v>
      </c>
      <c r="C3263" s="2" t="s">
        <v>3740</v>
      </c>
      <c r="D3263" s="3" t="str">
        <f>HYPERLINK("https://12go.asia/en/travel/Amed-Transfer/Uluwatu-Transfer", "12Go Link")</f>
        <v>12Go Link</v>
      </c>
      <c r="E3263" s="2" t="s">
        <v>3739</v>
      </c>
    </row>
    <row r="3264">
      <c r="A3264" s="2" t="s">
        <v>3737</v>
      </c>
      <c r="B3264" s="2" t="s">
        <v>3737</v>
      </c>
      <c r="C3264" s="2" t="s">
        <v>3741</v>
      </c>
      <c r="D3264" s="3" t="str">
        <f>HYPERLINK("https://12go.asia/en/travel/Bondalem/Amed-Transfer", "12Go Link")</f>
        <v>12Go Link</v>
      </c>
      <c r="E3264" s="2" t="s">
        <v>3742</v>
      </c>
    </row>
    <row r="3265">
      <c r="A3265" s="2" t="s">
        <v>3737</v>
      </c>
      <c r="B3265" s="2" t="s">
        <v>3737</v>
      </c>
      <c r="C3265" s="2" t="s">
        <v>3743</v>
      </c>
      <c r="D3265" s="3" t="str">
        <f>HYPERLINK("https://12go.asia/en/travel/Bondalem/Gilimanuk-Port", "12Go Link")</f>
        <v>12Go Link</v>
      </c>
      <c r="E3265" s="2" t="s">
        <v>215</v>
      </c>
    </row>
    <row r="3266">
      <c r="A3266" s="2" t="s">
        <v>3737</v>
      </c>
      <c r="B3266" s="2" t="s">
        <v>3737</v>
      </c>
      <c r="C3266" s="2" t="s">
        <v>3744</v>
      </c>
      <c r="D3266" s="3" t="str">
        <f>HYPERLINK("https://12go.asia/en/travel/Bondalem/Lovina", "12Go Link")</f>
        <v>12Go Link</v>
      </c>
      <c r="E3266" s="2" t="s">
        <v>3742</v>
      </c>
    </row>
    <row r="3267">
      <c r="A3267" s="2" t="s">
        <v>3737</v>
      </c>
      <c r="B3267" s="2" t="s">
        <v>3737</v>
      </c>
      <c r="C3267" s="2" t="s">
        <v>3745</v>
      </c>
      <c r="D3267" s="3" t="str">
        <f>HYPERLINK("https://12go.asia/en/travel/Bondalem/Padang-Bai-Transfer", "12Go Link")</f>
        <v>12Go Link</v>
      </c>
      <c r="E3267" s="2" t="s">
        <v>215</v>
      </c>
    </row>
    <row r="3268">
      <c r="A3268" s="2" t="s">
        <v>3737</v>
      </c>
      <c r="B3268" s="2" t="s">
        <v>3737</v>
      </c>
      <c r="C3268" s="2" t="s">
        <v>3746</v>
      </c>
      <c r="D3268" s="3" t="str">
        <f>HYPERLINK("https://12go.asia/en/travel/Munduk-Transfer/Amed-Transfer", "12Go Link")</f>
        <v>12Go Link</v>
      </c>
      <c r="E3268" s="2" t="s">
        <v>3739</v>
      </c>
    </row>
    <row r="3269">
      <c r="A3269" s="2" t="s">
        <v>3737</v>
      </c>
      <c r="B3269" s="2" t="s">
        <v>3737</v>
      </c>
      <c r="C3269" s="2" t="s">
        <v>3747</v>
      </c>
      <c r="D3269" s="3" t="str">
        <f>HYPERLINK("https://12go.asia/en/travel/Munduk-Transfer/Gilimanuk-Transfer", "12Go Link")</f>
        <v>12Go Link</v>
      </c>
      <c r="E3269" s="2" t="s">
        <v>215</v>
      </c>
    </row>
    <row r="3270">
      <c r="A3270" s="2" t="s">
        <v>3737</v>
      </c>
      <c r="B3270" s="2" t="s">
        <v>3737</v>
      </c>
      <c r="C3270" s="2" t="s">
        <v>3748</v>
      </c>
      <c r="D3270" s="3" t="str">
        <f>HYPERLINK("https://12go.asia/en/travel/Munduk-Transfer/Lovina", "12Go Link")</f>
        <v>12Go Link</v>
      </c>
      <c r="E3270" s="2" t="s">
        <v>3739</v>
      </c>
    </row>
    <row r="3271">
      <c r="A3271" s="2" t="s">
        <v>3737</v>
      </c>
      <c r="B3271" s="2" t="s">
        <v>3737</v>
      </c>
      <c r="C3271" s="2" t="s">
        <v>3749</v>
      </c>
      <c r="D3271" s="3" t="str">
        <f>HYPERLINK("https://12go.asia/en/travel/Nusa-Dua-Transfer/Bondalem", "12Go Link")</f>
        <v>12Go Link</v>
      </c>
      <c r="E3271" s="2" t="s">
        <v>215</v>
      </c>
    </row>
    <row r="3272">
      <c r="A3272" s="2" t="s">
        <v>3737</v>
      </c>
      <c r="B3272" s="2" t="s">
        <v>3737</v>
      </c>
      <c r="C3272" s="2" t="s">
        <v>3750</v>
      </c>
      <c r="D3272" s="3" t="str">
        <f>HYPERLINK("https://12go.asia/en/travel/Nusa-Dua-Transfer/Gilimanuk-Port", "12Go Link")</f>
        <v>12Go Link</v>
      </c>
      <c r="E3272" s="2" t="s">
        <v>215</v>
      </c>
    </row>
    <row r="3273">
      <c r="A3273" s="2" t="s">
        <v>3737</v>
      </c>
      <c r="B3273" s="2" t="s">
        <v>3737</v>
      </c>
      <c r="C3273" s="2" t="s">
        <v>3751</v>
      </c>
      <c r="D3273" s="3" t="str">
        <f>HYPERLINK("https://12go.asia/en/travel/Nusa-Dua-Transfer/Lovina", "12Go Link")</f>
        <v>12Go Link</v>
      </c>
      <c r="E3273" s="2" t="s">
        <v>215</v>
      </c>
    </row>
    <row r="3274">
      <c r="A3274" s="2" t="s">
        <v>3737</v>
      </c>
      <c r="B3274" s="2" t="s">
        <v>3737</v>
      </c>
      <c r="C3274" s="2" t="s">
        <v>3752</v>
      </c>
      <c r="D3274" s="3" t="str">
        <f>HYPERLINK("https://12go.asia/en/travel/Nusa-Dua-Transfer/Tejakula-Transfer", "12Go Link")</f>
        <v>12Go Link</v>
      </c>
      <c r="E3274" s="2" t="s">
        <v>215</v>
      </c>
    </row>
    <row r="3275">
      <c r="A3275" s="2" t="s">
        <v>3737</v>
      </c>
      <c r="B3275" s="2" t="s">
        <v>3737</v>
      </c>
      <c r="C3275" s="2" t="s">
        <v>3753</v>
      </c>
      <c r="D3275" s="3" t="str">
        <f>HYPERLINK("https://12go.asia/en/travel/Tejakula-Transfer/Lovina", "12Go Link")</f>
        <v>12Go Link</v>
      </c>
      <c r="E3275" s="2" t="s">
        <v>3754</v>
      </c>
    </row>
    <row r="3276">
      <c r="A3276" s="2" t="s">
        <v>3737</v>
      </c>
      <c r="B3276" s="2" t="s">
        <v>3755</v>
      </c>
      <c r="C3276" s="2" t="s">
        <v>3756</v>
      </c>
      <c r="D3276" s="3" t="str">
        <f>HYPERLINK("https://12go.asia/en/travel/Candidasa-Transfer/Gili-Air", "12Go Link")</f>
        <v>12Go Link</v>
      </c>
      <c r="E3276" s="2" t="s">
        <v>3757</v>
      </c>
    </row>
    <row r="3277">
      <c r="A3277" s="2" t="s">
        <v>3737</v>
      </c>
      <c r="B3277" s="2" t="s">
        <v>3755</v>
      </c>
      <c r="C3277" s="2" t="s">
        <v>3758</v>
      </c>
      <c r="D3277" s="3" t="str">
        <f>HYPERLINK("https://12go.asia/en/travel/Candidasa-Transfer/Gili-Trawangan-Port", "12Go Link")</f>
        <v>12Go Link</v>
      </c>
      <c r="E3277" s="2" t="s">
        <v>3757</v>
      </c>
    </row>
    <row r="3278">
      <c r="A3278" s="2" t="s">
        <v>3737</v>
      </c>
      <c r="B3278" s="2" t="s">
        <v>3755</v>
      </c>
      <c r="C3278" s="2" t="s">
        <v>3759</v>
      </c>
      <c r="D3278" s="3" t="str">
        <f t="shared" ref="D3278:D3279" si="291">HYPERLINK("https://12go.asia/en/travel/Canggu-Transfer/Gili-Air", "12Go Link")</f>
        <v>12Go Link</v>
      </c>
      <c r="E3278" s="2" t="s">
        <v>3757</v>
      </c>
    </row>
    <row r="3279">
      <c r="A3279" s="2" t="s">
        <v>3737</v>
      </c>
      <c r="B3279" s="2" t="s">
        <v>3755</v>
      </c>
      <c r="C3279" s="2" t="s">
        <v>3759</v>
      </c>
      <c r="D3279" s="3" t="str">
        <f t="shared" si="291"/>
        <v>12Go Link</v>
      </c>
      <c r="E3279" s="2" t="s">
        <v>240</v>
      </c>
    </row>
    <row r="3280">
      <c r="A3280" s="2" t="s">
        <v>3737</v>
      </c>
      <c r="B3280" s="2" t="s">
        <v>3755</v>
      </c>
      <c r="C3280" s="2" t="s">
        <v>3760</v>
      </c>
      <c r="D3280" s="3" t="str">
        <f t="shared" ref="D3280:D3281" si="292">HYPERLINK("https://12go.asia/en/travel/Canggu-Transfer/Gili-Trawangan-Port", "12Go Link")</f>
        <v>12Go Link</v>
      </c>
      <c r="E3280" s="2" t="s">
        <v>3757</v>
      </c>
    </row>
    <row r="3281">
      <c r="A3281" s="2" t="s">
        <v>3737</v>
      </c>
      <c r="B3281" s="2" t="s">
        <v>3755</v>
      </c>
      <c r="C3281" s="2" t="s">
        <v>3760</v>
      </c>
      <c r="D3281" s="3" t="str">
        <f t="shared" si="292"/>
        <v>12Go Link</v>
      </c>
      <c r="E3281" s="2" t="s">
        <v>240</v>
      </c>
    </row>
    <row r="3282">
      <c r="A3282" s="2" t="s">
        <v>3737</v>
      </c>
      <c r="B3282" s="2" t="s">
        <v>3755</v>
      </c>
      <c r="C3282" s="2" t="s">
        <v>3761</v>
      </c>
      <c r="D3282" s="3" t="str">
        <f t="shared" ref="D3282:D3283" si="293">HYPERLINK("https://12go.asia/en/travel/Jimbaran-Transfer/Gili-Air", "12Go Link")</f>
        <v>12Go Link</v>
      </c>
      <c r="E3282" s="2" t="s">
        <v>3757</v>
      </c>
    </row>
    <row r="3283">
      <c r="A3283" s="2" t="s">
        <v>3737</v>
      </c>
      <c r="B3283" s="2" t="s">
        <v>3755</v>
      </c>
      <c r="C3283" s="2" t="s">
        <v>3761</v>
      </c>
      <c r="D3283" s="3" t="str">
        <f t="shared" si="293"/>
        <v>12Go Link</v>
      </c>
      <c r="E3283" s="2" t="s">
        <v>240</v>
      </c>
    </row>
    <row r="3284">
      <c r="A3284" s="2" t="s">
        <v>3737</v>
      </c>
      <c r="B3284" s="2" t="s">
        <v>3755</v>
      </c>
      <c r="C3284" s="2" t="s">
        <v>3762</v>
      </c>
      <c r="D3284" s="3" t="str">
        <f t="shared" ref="D3284:D3285" si="294">HYPERLINK("https://12go.asia/en/travel/Jimbaran-Transfer/Gili-Trawangan-Port", "12Go Link")</f>
        <v>12Go Link</v>
      </c>
      <c r="E3284" s="2" t="s">
        <v>3757</v>
      </c>
    </row>
    <row r="3285">
      <c r="A3285" s="2" t="s">
        <v>3737</v>
      </c>
      <c r="B3285" s="2" t="s">
        <v>3755</v>
      </c>
      <c r="C3285" s="2" t="s">
        <v>3762</v>
      </c>
      <c r="D3285" s="3" t="str">
        <f t="shared" si="294"/>
        <v>12Go Link</v>
      </c>
      <c r="E3285" s="2" t="s">
        <v>240</v>
      </c>
    </row>
    <row r="3286">
      <c r="A3286" s="2" t="s">
        <v>3737</v>
      </c>
      <c r="B3286" s="2" t="s">
        <v>3755</v>
      </c>
      <c r="C3286" s="2" t="s">
        <v>3763</v>
      </c>
      <c r="D3286" s="3" t="str">
        <f t="shared" ref="D3286:D3287" si="295">HYPERLINK("https://12go.asia/en/travel/Kuta-Transfer/Gili-Air", "12Go Link")</f>
        <v>12Go Link</v>
      </c>
      <c r="E3286" s="2" t="s">
        <v>3757</v>
      </c>
    </row>
    <row r="3287">
      <c r="A3287" s="2" t="s">
        <v>3737</v>
      </c>
      <c r="B3287" s="2" t="s">
        <v>3755</v>
      </c>
      <c r="C3287" s="2" t="s">
        <v>3763</v>
      </c>
      <c r="D3287" s="3" t="str">
        <f t="shared" si="295"/>
        <v>12Go Link</v>
      </c>
      <c r="E3287" s="2" t="s">
        <v>240</v>
      </c>
    </row>
    <row r="3288">
      <c r="A3288" s="2" t="s">
        <v>3737</v>
      </c>
      <c r="B3288" s="2" t="s">
        <v>3755</v>
      </c>
      <c r="C3288" s="2" t="s">
        <v>3764</v>
      </c>
      <c r="D3288" s="3" t="str">
        <f t="shared" ref="D3288:D3289" si="296">HYPERLINK("https://12go.asia/en/travel/Kuta-Transfer/Gili-Trawangan-Port", "12Go Link")</f>
        <v>12Go Link</v>
      </c>
      <c r="E3288" s="2" t="s">
        <v>3757</v>
      </c>
    </row>
    <row r="3289">
      <c r="A3289" s="2" t="s">
        <v>3737</v>
      </c>
      <c r="B3289" s="2" t="s">
        <v>3755</v>
      </c>
      <c r="C3289" s="2" t="s">
        <v>3764</v>
      </c>
      <c r="D3289" s="3" t="str">
        <f t="shared" si="296"/>
        <v>12Go Link</v>
      </c>
      <c r="E3289" s="2" t="s">
        <v>240</v>
      </c>
    </row>
    <row r="3290">
      <c r="A3290" s="2" t="s">
        <v>3737</v>
      </c>
      <c r="B3290" s="2" t="s">
        <v>3755</v>
      </c>
      <c r="C3290" s="2" t="s">
        <v>3765</v>
      </c>
      <c r="D3290" s="3" t="str">
        <f>HYPERLINK("https://12go.asia/en/travel/Legian-Transfer/Gili-Air", "12Go Link")</f>
        <v>12Go Link</v>
      </c>
      <c r="E3290" s="2" t="s">
        <v>240</v>
      </c>
    </row>
    <row r="3291">
      <c r="A3291" s="2" t="s">
        <v>3737</v>
      </c>
      <c r="B3291" s="2" t="s">
        <v>3755</v>
      </c>
      <c r="C3291" s="2" t="s">
        <v>3766</v>
      </c>
      <c r="D3291" s="3" t="str">
        <f>HYPERLINK("https://12go.asia/en/travel/Legian-Transfer/Gili-Trawangan-Port", "12Go Link")</f>
        <v>12Go Link</v>
      </c>
      <c r="E3291" s="2" t="s">
        <v>240</v>
      </c>
    </row>
    <row r="3292">
      <c r="A3292" s="2" t="s">
        <v>3737</v>
      </c>
      <c r="B3292" s="2" t="s">
        <v>3755</v>
      </c>
      <c r="C3292" s="2" t="s">
        <v>3767</v>
      </c>
      <c r="D3292" s="3" t="str">
        <f t="shared" ref="D3292:D3293" si="297">HYPERLINK("https://12go.asia/en/travel/Nusa-Dua-Transfer/Gili-Air", "12Go Link")</f>
        <v>12Go Link</v>
      </c>
      <c r="E3292" s="2" t="s">
        <v>3757</v>
      </c>
    </row>
    <row r="3293">
      <c r="A3293" s="2" t="s">
        <v>3737</v>
      </c>
      <c r="B3293" s="2" t="s">
        <v>3755</v>
      </c>
      <c r="C3293" s="2" t="s">
        <v>3767</v>
      </c>
      <c r="D3293" s="3" t="str">
        <f t="shared" si="297"/>
        <v>12Go Link</v>
      </c>
      <c r="E3293" s="2" t="s">
        <v>240</v>
      </c>
    </row>
    <row r="3294">
      <c r="A3294" s="2" t="s">
        <v>3737</v>
      </c>
      <c r="B3294" s="2" t="s">
        <v>3755</v>
      </c>
      <c r="C3294" s="2" t="s">
        <v>3768</v>
      </c>
      <c r="D3294" s="3" t="str">
        <f t="shared" ref="D3294:D3295" si="298">HYPERLINK("https://12go.asia/en/travel/Nusa-Dua-Transfer/Gili-Trawangan-Port", "12Go Link")</f>
        <v>12Go Link</v>
      </c>
      <c r="E3294" s="2" t="s">
        <v>3757</v>
      </c>
    </row>
    <row r="3295">
      <c r="A3295" s="2" t="s">
        <v>3737</v>
      </c>
      <c r="B3295" s="2" t="s">
        <v>3755</v>
      </c>
      <c r="C3295" s="2" t="s">
        <v>3768</v>
      </c>
      <c r="D3295" s="3" t="str">
        <f t="shared" si="298"/>
        <v>12Go Link</v>
      </c>
      <c r="E3295" s="2" t="s">
        <v>240</v>
      </c>
    </row>
    <row r="3296">
      <c r="A3296" s="2" t="s">
        <v>3737</v>
      </c>
      <c r="B3296" s="2" t="s">
        <v>3755</v>
      </c>
      <c r="C3296" s="2" t="s">
        <v>3769</v>
      </c>
      <c r="D3296" s="3" t="str">
        <f>HYPERLINK("https://12go.asia/en/travel/Padang-Bai-Pier/Gili-Air", "12Go Link")</f>
        <v>12Go Link</v>
      </c>
      <c r="E3296" s="2" t="s">
        <v>234</v>
      </c>
    </row>
    <row r="3297">
      <c r="A3297" s="2" t="s">
        <v>3737</v>
      </c>
      <c r="B3297" s="2" t="s">
        <v>3755</v>
      </c>
      <c r="C3297" s="2" t="s">
        <v>3770</v>
      </c>
      <c r="D3297" s="3" t="str">
        <f>HYPERLINK("https://12go.asia/en/travel/Padang-Bai-Pier/Gili-Trawangan-Port", "12Go Link")</f>
        <v>12Go Link</v>
      </c>
      <c r="E3297" s="2" t="s">
        <v>234</v>
      </c>
    </row>
    <row r="3298">
      <c r="A3298" s="2" t="s">
        <v>3737</v>
      </c>
      <c r="B3298" s="2" t="s">
        <v>3755</v>
      </c>
      <c r="C3298" s="2" t="s">
        <v>3771</v>
      </c>
      <c r="D3298" s="3" t="str">
        <f>HYPERLINK("https://12go.asia/en/travel/Pecatu-Transfer/Gili-Air", "12Go Link")</f>
        <v>12Go Link</v>
      </c>
      <c r="E3298" s="2" t="s">
        <v>3757</v>
      </c>
    </row>
    <row r="3299">
      <c r="A3299" s="2" t="s">
        <v>3737</v>
      </c>
      <c r="B3299" s="2" t="s">
        <v>3755</v>
      </c>
      <c r="C3299" s="2" t="s">
        <v>3772</v>
      </c>
      <c r="D3299" s="3" t="str">
        <f>HYPERLINK("https://12go.asia/en/travel/Pecatu-Transfer/Gili-Trawangan-Port", "12Go Link")</f>
        <v>12Go Link</v>
      </c>
      <c r="E3299" s="2" t="s">
        <v>3757</v>
      </c>
    </row>
    <row r="3300">
      <c r="A3300" s="2" t="s">
        <v>3737</v>
      </c>
      <c r="B3300" s="2" t="s">
        <v>3755</v>
      </c>
      <c r="C3300" s="2" t="s">
        <v>3773</v>
      </c>
      <c r="D3300" s="3" t="str">
        <f>HYPERLINK("https://12go.asia/en/travel/Sidemen-Transfer/Gili-Air", "12Go Link")</f>
        <v>12Go Link</v>
      </c>
      <c r="E3300" s="2" t="s">
        <v>3757</v>
      </c>
    </row>
    <row r="3301">
      <c r="A3301" s="2" t="s">
        <v>3737</v>
      </c>
      <c r="B3301" s="2" t="s">
        <v>3755</v>
      </c>
      <c r="C3301" s="2" t="s">
        <v>3774</v>
      </c>
      <c r="D3301" s="3" t="str">
        <f>HYPERLINK("https://12go.asia/en/travel/Sidemen-Transfer/Gili-Trawangan-Port", "12Go Link")</f>
        <v>12Go Link</v>
      </c>
      <c r="E3301" s="2" t="s">
        <v>3757</v>
      </c>
    </row>
    <row r="3302">
      <c r="A3302" s="2" t="s">
        <v>3737</v>
      </c>
      <c r="B3302" s="2" t="s">
        <v>3755</v>
      </c>
      <c r="C3302" s="2" t="s">
        <v>3775</v>
      </c>
      <c r="D3302" s="3" t="str">
        <f>HYPERLINK("https://12go.asia/en/travel/Tirta-Gangga-Transfer/Gili-Air", "12Go Link")</f>
        <v>12Go Link</v>
      </c>
      <c r="E3302" s="2" t="s">
        <v>3757</v>
      </c>
    </row>
    <row r="3303">
      <c r="A3303" s="2" t="s">
        <v>3737</v>
      </c>
      <c r="B3303" s="2" t="s">
        <v>3755</v>
      </c>
      <c r="C3303" s="2" t="s">
        <v>3776</v>
      </c>
      <c r="D3303" s="3" t="str">
        <f>HYPERLINK("https://12go.asia/en/travel/Tirta-Gangga-Transfer/Gili-Trawangan-Port", "12Go Link")</f>
        <v>12Go Link</v>
      </c>
      <c r="E3303" s="2" t="s">
        <v>3757</v>
      </c>
    </row>
    <row r="3304">
      <c r="A3304" s="2" t="s">
        <v>3737</v>
      </c>
      <c r="B3304" s="2" t="s">
        <v>3755</v>
      </c>
      <c r="C3304" s="2" t="s">
        <v>3777</v>
      </c>
      <c r="D3304" s="3" t="str">
        <f>HYPERLINK("https://12go.asia/en/travel/Tulamben-Transfer/Gili-Air", "12Go Link")</f>
        <v>12Go Link</v>
      </c>
      <c r="E3304" s="2" t="s">
        <v>3757</v>
      </c>
    </row>
    <row r="3305">
      <c r="A3305" s="2" t="s">
        <v>3737</v>
      </c>
      <c r="B3305" s="2" t="s">
        <v>3755</v>
      </c>
      <c r="C3305" s="2" t="s">
        <v>3778</v>
      </c>
      <c r="D3305" s="3" t="str">
        <f>HYPERLINK("https://12go.asia/en/travel/Tulamben-Transfer/Gili-Trawangan-Port", "12Go Link")</f>
        <v>12Go Link</v>
      </c>
      <c r="E3305" s="2" t="s">
        <v>3757</v>
      </c>
    </row>
    <row r="3306">
      <c r="A3306" s="2" t="s">
        <v>3737</v>
      </c>
      <c r="B3306" s="2" t="s">
        <v>3755</v>
      </c>
      <c r="C3306" s="2" t="s">
        <v>3779</v>
      </c>
      <c r="D3306" s="3" t="str">
        <f t="shared" ref="D3306:D3307" si="299">HYPERLINK("https://12go.asia/en/travel/Uluwatu-Transfer/Gili-Air", "12Go Link")</f>
        <v>12Go Link</v>
      </c>
      <c r="E3306" s="2" t="s">
        <v>3757</v>
      </c>
    </row>
    <row r="3307">
      <c r="A3307" s="2" t="s">
        <v>3737</v>
      </c>
      <c r="B3307" s="2" t="s">
        <v>3755</v>
      </c>
      <c r="C3307" s="2" t="s">
        <v>3779</v>
      </c>
      <c r="D3307" s="3" t="str">
        <f t="shared" si="299"/>
        <v>12Go Link</v>
      </c>
      <c r="E3307" s="2" t="s">
        <v>240</v>
      </c>
    </row>
    <row r="3308">
      <c r="A3308" s="2" t="s">
        <v>3737</v>
      </c>
      <c r="B3308" s="2" t="s">
        <v>3755</v>
      </c>
      <c r="C3308" s="2" t="s">
        <v>3780</v>
      </c>
      <c r="D3308" s="3" t="str">
        <f t="shared" ref="D3308:D3309" si="300">HYPERLINK("https://12go.asia/en/travel/Uluwatu-Transfer/Gili-Trawangan-Port", "12Go Link")</f>
        <v>12Go Link</v>
      </c>
      <c r="E3308" s="2" t="s">
        <v>3757</v>
      </c>
    </row>
    <row r="3309">
      <c r="A3309" s="2" t="s">
        <v>3737</v>
      </c>
      <c r="B3309" s="2" t="s">
        <v>3755</v>
      </c>
      <c r="C3309" s="2" t="s">
        <v>3780</v>
      </c>
      <c r="D3309" s="3" t="str">
        <f t="shared" si="300"/>
        <v>12Go Link</v>
      </c>
      <c r="E3309" s="2" t="s">
        <v>240</v>
      </c>
    </row>
    <row r="3310">
      <c r="A3310" s="2" t="s">
        <v>3737</v>
      </c>
      <c r="B3310" s="2" t="s">
        <v>3781</v>
      </c>
      <c r="C3310" s="2" t="s">
        <v>3782</v>
      </c>
      <c r="D3310" s="3" t="str">
        <f>HYPERLINK("https://12go.asia/en/travel/Nusa-Dua-Transfer/Kintamani-Transfer", "12Go Link")</f>
        <v>12Go Link</v>
      </c>
      <c r="E3310" s="2" t="s">
        <v>215</v>
      </c>
    </row>
    <row r="3311">
      <c r="A3311" s="2" t="s">
        <v>3737</v>
      </c>
      <c r="B3311" s="2" t="s">
        <v>3783</v>
      </c>
      <c r="C3311" s="2" t="s">
        <v>3784</v>
      </c>
      <c r="D3311" s="3" t="str">
        <f>HYPERLINK("https://12go.asia/en/travel/Candidasa-Transfer/Bangsal-Pier", "12Go Link")</f>
        <v>12Go Link</v>
      </c>
      <c r="E3311" s="2" t="s">
        <v>3757</v>
      </c>
    </row>
    <row r="3312">
      <c r="A3312" s="2" t="s">
        <v>3737</v>
      </c>
      <c r="B3312" s="2" t="s">
        <v>3783</v>
      </c>
      <c r="C3312" s="2" t="s">
        <v>3785</v>
      </c>
      <c r="D3312" s="3" t="str">
        <f t="shared" ref="D3312:D3313" si="301">HYPERLINK("https://12go.asia/en/travel/Canggu-Transfer/Bangsal-Pier", "12Go Link")</f>
        <v>12Go Link</v>
      </c>
      <c r="E3312" s="2" t="s">
        <v>3757</v>
      </c>
    </row>
    <row r="3313">
      <c r="A3313" s="2" t="s">
        <v>3737</v>
      </c>
      <c r="B3313" s="2" t="s">
        <v>3783</v>
      </c>
      <c r="C3313" s="2" t="s">
        <v>3785</v>
      </c>
      <c r="D3313" s="3" t="str">
        <f t="shared" si="301"/>
        <v>12Go Link</v>
      </c>
      <c r="E3313" s="2" t="s">
        <v>240</v>
      </c>
    </row>
    <row r="3314">
      <c r="A3314" s="2" t="s">
        <v>3737</v>
      </c>
      <c r="B3314" s="2" t="s">
        <v>3783</v>
      </c>
      <c r="C3314" s="2" t="s">
        <v>3786</v>
      </c>
      <c r="D3314" s="3" t="str">
        <f t="shared" ref="D3314:D3315" si="302">HYPERLINK("https://12go.asia/en/travel/Jimbaran-Transfer/Bangsal-Pier", "12Go Link")</f>
        <v>12Go Link</v>
      </c>
      <c r="E3314" s="2" t="s">
        <v>3757</v>
      </c>
    </row>
    <row r="3315">
      <c r="A3315" s="2" t="s">
        <v>3737</v>
      </c>
      <c r="B3315" s="2" t="s">
        <v>3783</v>
      </c>
      <c r="C3315" s="2" t="s">
        <v>3786</v>
      </c>
      <c r="D3315" s="3" t="str">
        <f t="shared" si="302"/>
        <v>12Go Link</v>
      </c>
      <c r="E3315" s="2" t="s">
        <v>240</v>
      </c>
    </row>
    <row r="3316">
      <c r="A3316" s="2" t="s">
        <v>3737</v>
      </c>
      <c r="B3316" s="2" t="s">
        <v>3783</v>
      </c>
      <c r="C3316" s="2" t="s">
        <v>3787</v>
      </c>
      <c r="D3316" s="3" t="str">
        <f t="shared" ref="D3316:D3317" si="303">HYPERLINK("https://12go.asia/en/travel/Kuta-Transfer/Bangsal-Pier", "12Go Link")</f>
        <v>12Go Link</v>
      </c>
      <c r="E3316" s="2" t="s">
        <v>3757</v>
      </c>
    </row>
    <row r="3317">
      <c r="A3317" s="2" t="s">
        <v>3737</v>
      </c>
      <c r="B3317" s="2" t="s">
        <v>3783</v>
      </c>
      <c r="C3317" s="2" t="s">
        <v>3787</v>
      </c>
      <c r="D3317" s="3" t="str">
        <f t="shared" si="303"/>
        <v>12Go Link</v>
      </c>
      <c r="E3317" s="2" t="s">
        <v>240</v>
      </c>
    </row>
    <row r="3318">
      <c r="A3318" s="2" t="s">
        <v>3737</v>
      </c>
      <c r="B3318" s="2" t="s">
        <v>3783</v>
      </c>
      <c r="C3318" s="2" t="s">
        <v>3788</v>
      </c>
      <c r="D3318" s="3" t="str">
        <f>HYPERLINK("https://12go.asia/en/travel/Legian-Transfer/Bangsal-Pier", "12Go Link")</f>
        <v>12Go Link</v>
      </c>
      <c r="E3318" s="2" t="s">
        <v>240</v>
      </c>
    </row>
    <row r="3319">
      <c r="A3319" s="2" t="s">
        <v>3737</v>
      </c>
      <c r="B3319" s="2" t="s">
        <v>3783</v>
      </c>
      <c r="C3319" s="2" t="s">
        <v>3789</v>
      </c>
      <c r="D3319" s="3" t="str">
        <f t="shared" ref="D3319:D3320" si="304">HYPERLINK("https://12go.asia/en/travel/Nusa-Dua-Transfer/Bangsal-Pier", "12Go Link")</f>
        <v>12Go Link</v>
      </c>
      <c r="E3319" s="2" t="s">
        <v>3757</v>
      </c>
    </row>
    <row r="3320">
      <c r="A3320" s="2" t="s">
        <v>3737</v>
      </c>
      <c r="B3320" s="2" t="s">
        <v>3783</v>
      </c>
      <c r="C3320" s="2" t="s">
        <v>3789</v>
      </c>
      <c r="D3320" s="3" t="str">
        <f t="shared" si="304"/>
        <v>12Go Link</v>
      </c>
      <c r="E3320" s="2" t="s">
        <v>240</v>
      </c>
    </row>
    <row r="3321">
      <c r="A3321" s="2" t="s">
        <v>3737</v>
      </c>
      <c r="B3321" s="2" t="s">
        <v>3783</v>
      </c>
      <c r="C3321" s="2" t="s">
        <v>3790</v>
      </c>
      <c r="D3321" s="3" t="str">
        <f>HYPERLINK("https://12go.asia/en/travel/Padang-Bai-Pier/Bangsal-Pier", "12Go Link")</f>
        <v>12Go Link</v>
      </c>
      <c r="E3321" s="2" t="s">
        <v>234</v>
      </c>
    </row>
    <row r="3322">
      <c r="A3322" s="2" t="s">
        <v>3737</v>
      </c>
      <c r="B3322" s="2" t="s">
        <v>3783</v>
      </c>
      <c r="C3322" s="2" t="s">
        <v>3791</v>
      </c>
      <c r="D3322" s="3" t="str">
        <f>HYPERLINK("https://12go.asia/en/travel/Pecatu-Transfer/Bangsal-Pier", "12Go Link")</f>
        <v>12Go Link</v>
      </c>
      <c r="E3322" s="2" t="s">
        <v>3757</v>
      </c>
    </row>
    <row r="3323">
      <c r="A3323" s="2" t="s">
        <v>3737</v>
      </c>
      <c r="B3323" s="2" t="s">
        <v>3783</v>
      </c>
      <c r="C3323" s="2" t="s">
        <v>3792</v>
      </c>
      <c r="D3323" s="3" t="str">
        <f>HYPERLINK("https://12go.asia/en/travel/Sidemen-Transfer/Bangsal-Pier", "12Go Link")</f>
        <v>12Go Link</v>
      </c>
      <c r="E3323" s="2" t="s">
        <v>3757</v>
      </c>
    </row>
    <row r="3324">
      <c r="A3324" s="2" t="s">
        <v>3737</v>
      </c>
      <c r="B3324" s="2" t="s">
        <v>3783</v>
      </c>
      <c r="C3324" s="2" t="s">
        <v>3793</v>
      </c>
      <c r="D3324" s="3" t="str">
        <f>HYPERLINK("https://12go.asia/en/travel/Tirta-Gangga-Transfer/Bangsal-Pier", "12Go Link")</f>
        <v>12Go Link</v>
      </c>
      <c r="E3324" s="2" t="s">
        <v>3757</v>
      </c>
    </row>
    <row r="3325">
      <c r="A3325" s="2" t="s">
        <v>3737</v>
      </c>
      <c r="B3325" s="2" t="s">
        <v>3783</v>
      </c>
      <c r="C3325" s="2" t="s">
        <v>3794</v>
      </c>
      <c r="D3325" s="3" t="str">
        <f>HYPERLINK("https://12go.asia/en/travel/Tulamben-Transfer/Bangsal-Pier", "12Go Link")</f>
        <v>12Go Link</v>
      </c>
      <c r="E3325" s="2" t="s">
        <v>3757</v>
      </c>
    </row>
    <row r="3326">
      <c r="A3326" s="2" t="s">
        <v>3737</v>
      </c>
      <c r="B3326" s="2" t="s">
        <v>3783</v>
      </c>
      <c r="C3326" s="2" t="s">
        <v>3795</v>
      </c>
      <c r="D3326" s="3" t="str">
        <f t="shared" ref="D3326:D3327" si="305">HYPERLINK("https://12go.asia/en/travel/Uluwatu-Transfer/Bangsal-Pier", "12Go Link")</f>
        <v>12Go Link</v>
      </c>
      <c r="E3326" s="2" t="s">
        <v>3757</v>
      </c>
    </row>
    <row r="3327">
      <c r="A3327" s="2" t="s">
        <v>3737</v>
      </c>
      <c r="B3327" s="2" t="s">
        <v>3783</v>
      </c>
      <c r="C3327" s="2" t="s">
        <v>3795</v>
      </c>
      <c r="D3327" s="3" t="str">
        <f t="shared" si="305"/>
        <v>12Go Link</v>
      </c>
      <c r="E3327" s="2" t="s">
        <v>240</v>
      </c>
    </row>
    <row r="3328">
      <c r="A3328" s="2" t="s">
        <v>3737</v>
      </c>
      <c r="B3328" s="2" t="s">
        <v>131</v>
      </c>
      <c r="C3328" s="2" t="s">
        <v>3796</v>
      </c>
      <c r="D3328" s="3" t="str">
        <f>HYPERLINK("https://12go.asia/en/travel/Canggu-Transfer/Banjar-Nyuh-Harbour", "12Go Link")</f>
        <v>12Go Link</v>
      </c>
      <c r="E3328" s="2" t="s">
        <v>240</v>
      </c>
    </row>
    <row r="3329">
      <c r="A3329" s="2" t="s">
        <v>3737</v>
      </c>
      <c r="B3329" s="2" t="s">
        <v>131</v>
      </c>
      <c r="C3329" s="2" t="s">
        <v>3797</v>
      </c>
      <c r="D3329" s="3" t="str">
        <f>HYPERLINK("https://12go.asia/en/travel/Jimbaran-Transfer/Banjar-Nyuh-Harbour", "12Go Link")</f>
        <v>12Go Link</v>
      </c>
      <c r="E3329" s="2" t="s">
        <v>240</v>
      </c>
    </row>
    <row r="3330">
      <c r="A3330" s="2" t="s">
        <v>3737</v>
      </c>
      <c r="B3330" s="2" t="s">
        <v>131</v>
      </c>
      <c r="C3330" s="2" t="s">
        <v>3798</v>
      </c>
      <c r="D3330" s="3" t="str">
        <f>HYPERLINK("https://12go.asia/en/travel/Kuta-Transfer/Banjar-Nyuh-Harbour", "12Go Link")</f>
        <v>12Go Link</v>
      </c>
      <c r="E3330" s="2" t="s">
        <v>240</v>
      </c>
    </row>
    <row r="3331">
      <c r="A3331" s="2" t="s">
        <v>3737</v>
      </c>
      <c r="B3331" s="2" t="s">
        <v>131</v>
      </c>
      <c r="C3331" s="2" t="s">
        <v>3799</v>
      </c>
      <c r="D3331" s="3" t="str">
        <f>HYPERLINK("https://12go.asia/en/travel/Legian-Transfer/Banjar-Nyuh-Harbour", "12Go Link")</f>
        <v>12Go Link</v>
      </c>
      <c r="E3331" s="2" t="s">
        <v>240</v>
      </c>
    </row>
    <row r="3332">
      <c r="A3332" s="2" t="s">
        <v>3737</v>
      </c>
      <c r="B3332" s="2" t="s">
        <v>131</v>
      </c>
      <c r="C3332" s="2" t="s">
        <v>3800</v>
      </c>
      <c r="D3332" s="3" t="str">
        <f>HYPERLINK("https://12go.asia/en/travel/Nusa-Dua-Transfer/Banjar-Nyuh-Harbour", "12Go Link")</f>
        <v>12Go Link</v>
      </c>
      <c r="E3332" s="2" t="s">
        <v>240</v>
      </c>
    </row>
    <row r="3333">
      <c r="A3333" s="2" t="s">
        <v>3737</v>
      </c>
      <c r="B3333" s="2" t="s">
        <v>131</v>
      </c>
      <c r="C3333" s="2" t="s">
        <v>3801</v>
      </c>
      <c r="D3333" s="3" t="str">
        <f>HYPERLINK("https://12go.asia/en/travel/Tegalalang-Transfer/Banjar-Nyuh-Harbour", "12Go Link")</f>
        <v>12Go Link</v>
      </c>
      <c r="E3333" s="2" t="s">
        <v>240</v>
      </c>
    </row>
    <row r="3334">
      <c r="A3334" s="2" t="s">
        <v>3737</v>
      </c>
      <c r="B3334" s="2" t="s">
        <v>131</v>
      </c>
      <c r="C3334" s="2" t="s">
        <v>3802</v>
      </c>
      <c r="D3334" s="3" t="str">
        <f>HYPERLINK("https://12go.asia/en/travel/Uluwatu-Transfer/Banjar-Nyuh-Harbour", "12Go Link")</f>
        <v>12Go Link</v>
      </c>
      <c r="E3334" s="2" t="s">
        <v>240</v>
      </c>
    </row>
    <row r="3335">
      <c r="A3335" s="2" t="s">
        <v>3803</v>
      </c>
      <c r="B3335" s="2" t="s">
        <v>3804</v>
      </c>
      <c r="C3335" s="2" t="s">
        <v>3805</v>
      </c>
      <c r="D3335" s="3" t="str">
        <f>HYPERLINK("https://12go.asia/en/travel/banten/south-sumatra", "12Go Link")</f>
        <v>12Go Link</v>
      </c>
      <c r="E3335" s="2" t="s">
        <v>60</v>
      </c>
    </row>
    <row r="3336">
      <c r="A3336" s="2" t="s">
        <v>3806</v>
      </c>
      <c r="B3336" s="2" t="s">
        <v>38</v>
      </c>
      <c r="C3336" s="2" t="s">
        <v>3807</v>
      </c>
      <c r="D3336" s="3" t="str">
        <f>HYPERLINK("https://12go.asia/en/travel/canggu/brisbane", "12Go Link")</f>
        <v>12Go Link</v>
      </c>
      <c r="E3336" s="2" t="s">
        <v>60</v>
      </c>
    </row>
    <row r="3337">
      <c r="A3337" s="2" t="s">
        <v>3806</v>
      </c>
      <c r="B3337" s="2" t="s">
        <v>3808</v>
      </c>
      <c r="C3337" s="2" t="s">
        <v>3809</v>
      </c>
      <c r="D3337" s="3" t="str">
        <f>HYPERLINK("https://12go.asia/en/travel/canggu/ipswich-city", "12Go Link")</f>
        <v>12Go Link</v>
      </c>
      <c r="E3337" s="2" t="s">
        <v>60</v>
      </c>
    </row>
    <row r="3338">
      <c r="A3338" s="2" t="s">
        <v>3806</v>
      </c>
      <c r="B3338" s="2" t="s">
        <v>3810</v>
      </c>
      <c r="C3338" s="2" t="s">
        <v>3811</v>
      </c>
      <c r="D3338" s="3" t="str">
        <f>HYPERLINK("https://12go.asia/en/travel/canggu/moreton-bay", "12Go Link")</f>
        <v>12Go Link</v>
      </c>
      <c r="E3338" s="2" t="s">
        <v>60</v>
      </c>
    </row>
    <row r="3339">
      <c r="A3339" s="2" t="s">
        <v>3806</v>
      </c>
      <c r="B3339" s="2" t="s">
        <v>3812</v>
      </c>
      <c r="C3339" s="2" t="s">
        <v>3813</v>
      </c>
      <c r="D3339" s="3" t="str">
        <f>HYPERLINK("https://12go.asia/en/travel/canggu/north-stradbroke-island", "12Go Link")</f>
        <v>12Go Link</v>
      </c>
      <c r="E3339" s="2" t="s">
        <v>60</v>
      </c>
    </row>
    <row r="3340">
      <c r="A3340" s="2" t="s">
        <v>3806</v>
      </c>
      <c r="B3340" s="2" t="s">
        <v>3814</v>
      </c>
      <c r="C3340" s="2" t="s">
        <v>3815</v>
      </c>
      <c r="D3340" s="3" t="str">
        <f>HYPERLINK("https://12go.asia/en/travel/canggu/balikpapan", "12Go Link")</f>
        <v>12Go Link</v>
      </c>
      <c r="E3340" s="2" t="s">
        <v>60</v>
      </c>
    </row>
    <row r="3341">
      <c r="A3341" s="2" t="s">
        <v>3806</v>
      </c>
      <c r="B3341" s="2" t="s">
        <v>3816</v>
      </c>
      <c r="C3341" s="2" t="s">
        <v>3817</v>
      </c>
      <c r="D3341" s="3" t="str">
        <f>HYPERLINK("https://12go.asia/en/travel/canggu/bandjarmasin", "12Go Link")</f>
        <v>12Go Link</v>
      </c>
      <c r="E3341" s="2" t="s">
        <v>60</v>
      </c>
    </row>
    <row r="3342">
      <c r="A3342" s="2" t="s">
        <v>3806</v>
      </c>
      <c r="B3342" s="2" t="s">
        <v>3818</v>
      </c>
      <c r="C3342" s="2" t="s">
        <v>3819</v>
      </c>
      <c r="D3342" s="3" t="str">
        <f>HYPERLINK("https://12go.asia/en/travel/canggu/bima", "12Go Link")</f>
        <v>12Go Link</v>
      </c>
      <c r="E3342" s="2" t="s">
        <v>60</v>
      </c>
    </row>
    <row r="3343">
      <c r="A3343" s="2" t="s">
        <v>3806</v>
      </c>
      <c r="B3343" s="2" t="s">
        <v>3755</v>
      </c>
      <c r="C3343" s="2" t="s">
        <v>3820</v>
      </c>
      <c r="D3343" s="3" t="str">
        <f>HYPERLINK("https://12go.asia/en/travel/Popular-Market-Deli-Canggu/Gili-Air", "12Go Link")</f>
        <v>12Go Link</v>
      </c>
      <c r="E3343" s="2" t="s">
        <v>234</v>
      </c>
    </row>
    <row r="3344">
      <c r="A3344" s="2" t="s">
        <v>3806</v>
      </c>
      <c r="B3344" s="2" t="s">
        <v>3755</v>
      </c>
      <c r="C3344" s="2" t="s">
        <v>3821</v>
      </c>
      <c r="D3344" s="3" t="str">
        <f>HYPERLINK("https://12go.asia/en/travel/Popular-Market-Deli-Canggu/Gili-Meno", "12Go Link")</f>
        <v>12Go Link</v>
      </c>
      <c r="E3344" s="2" t="s">
        <v>234</v>
      </c>
    </row>
    <row r="3345">
      <c r="A3345" s="2" t="s">
        <v>3806</v>
      </c>
      <c r="B3345" s="2" t="s">
        <v>3822</v>
      </c>
      <c r="C3345" s="2" t="s">
        <v>3823</v>
      </c>
      <c r="D3345" s="3" t="str">
        <f>HYPERLINK("https://12go.asia/en/travel/Popular-Market-Deli-Canggu/Gili-Trawangan-Beach", "12Go Link")</f>
        <v>12Go Link</v>
      </c>
      <c r="E3345" s="2" t="s">
        <v>234</v>
      </c>
    </row>
    <row r="3346">
      <c r="A3346" s="2" t="s">
        <v>3806</v>
      </c>
      <c r="B3346" s="2" t="s">
        <v>3824</v>
      </c>
      <c r="C3346" s="2" t="s">
        <v>3825</v>
      </c>
      <c r="D3346" s="3" t="str">
        <f>HYPERLINK("https://12go.asia/en/travel/canggu/klaten", "12Go Link")</f>
        <v>12Go Link</v>
      </c>
      <c r="E3346" s="2" t="s">
        <v>60</v>
      </c>
    </row>
    <row r="3347">
      <c r="A3347" s="2" t="s">
        <v>3806</v>
      </c>
      <c r="B3347" s="2" t="s">
        <v>3783</v>
      </c>
      <c r="C3347" s="2" t="s">
        <v>3826</v>
      </c>
      <c r="D3347" s="3" t="str">
        <f>HYPERLINK("https://12go.asia/en/travel/Popular-Market-Deli-Canggu/Bangsal-Indah", "12Go Link")</f>
        <v>12Go Link</v>
      </c>
      <c r="E3347" s="2" t="s">
        <v>234</v>
      </c>
    </row>
    <row r="3348">
      <c r="A3348" s="2" t="s">
        <v>3806</v>
      </c>
      <c r="B3348" s="2" t="s">
        <v>3827</v>
      </c>
      <c r="C3348" s="2" t="s">
        <v>3828</v>
      </c>
      <c r="D3348" s="3" t="str">
        <f>HYPERLINK("https://12go.asia/en/travel/canggu/medan", "12Go Link")</f>
        <v>12Go Link</v>
      </c>
      <c r="E3348" s="2" t="s">
        <v>60</v>
      </c>
    </row>
    <row r="3349">
      <c r="A3349" s="2" t="s">
        <v>3806</v>
      </c>
      <c r="B3349" s="2" t="s">
        <v>3829</v>
      </c>
      <c r="C3349" s="2" t="s">
        <v>3830</v>
      </c>
      <c r="D3349" s="3" t="str">
        <f>HYPERLINK("https://12go.asia/en/travel/canggu/north-sumatra", "12Go Link")</f>
        <v>12Go Link</v>
      </c>
      <c r="E3349" s="2" t="s">
        <v>60</v>
      </c>
    </row>
    <row r="3350">
      <c r="A3350" s="2" t="s">
        <v>3806</v>
      </c>
      <c r="B3350" s="2" t="s">
        <v>3831</v>
      </c>
      <c r="C3350" s="2" t="s">
        <v>3832</v>
      </c>
      <c r="D3350" s="3" t="str">
        <f>HYPERLINK("https://12go.asia/en/travel/canggu/raba", "12Go Link")</f>
        <v>12Go Link</v>
      </c>
      <c r="E3350" s="2" t="s">
        <v>60</v>
      </c>
    </row>
    <row r="3351">
      <c r="A3351" s="2" t="s">
        <v>3806</v>
      </c>
      <c r="B3351" s="2" t="s">
        <v>3833</v>
      </c>
      <c r="C3351" s="2" t="s">
        <v>3834</v>
      </c>
      <c r="D3351" s="3" t="str">
        <f>HYPERLINK("https://12go.asia/en/travel/canggu/rinca", "12Go Link")</f>
        <v>12Go Link</v>
      </c>
      <c r="E3351" s="2" t="s">
        <v>60</v>
      </c>
    </row>
    <row r="3352">
      <c r="A3352" s="2" t="s">
        <v>3806</v>
      </c>
      <c r="B3352" s="2" t="s">
        <v>3835</v>
      </c>
      <c r="C3352" s="2" t="s">
        <v>3836</v>
      </c>
      <c r="D3352" s="3" t="str">
        <f>HYPERLINK("https://12go.asia/en/travel/canggu/ruteng", "12Go Link")</f>
        <v>12Go Link</v>
      </c>
      <c r="E3352" s="2" t="s">
        <v>60</v>
      </c>
    </row>
    <row r="3353">
      <c r="A3353" s="2" t="s">
        <v>3806</v>
      </c>
      <c r="B3353" s="2" t="s">
        <v>3837</v>
      </c>
      <c r="C3353" s="2" t="s">
        <v>3838</v>
      </c>
      <c r="D3353" s="3" t="str">
        <f>HYPERLINK("https://12go.asia/en/travel/canggu/south-kalimantan", "12Go Link")</f>
        <v>12Go Link</v>
      </c>
      <c r="E3353" s="2" t="s">
        <v>60</v>
      </c>
    </row>
    <row r="3354">
      <c r="A3354" s="2" t="s">
        <v>3806</v>
      </c>
      <c r="B3354" s="2" t="s">
        <v>3839</v>
      </c>
      <c r="C3354" s="2" t="s">
        <v>3840</v>
      </c>
      <c r="D3354" s="3" t="str">
        <f>HYPERLINK("https://12go.asia/en/travel/canggu/yogyakarta-airport", "12Go Link")</f>
        <v>12Go Link</v>
      </c>
      <c r="E3354" s="2" t="s">
        <v>60</v>
      </c>
    </row>
    <row r="3355">
      <c r="A3355" s="2" t="s">
        <v>3841</v>
      </c>
      <c r="B3355" s="2" t="s">
        <v>3842</v>
      </c>
      <c r="C3355" s="2" t="s">
        <v>3843</v>
      </c>
      <c r="D3355" s="3" t="str">
        <f>HYPERLINK("https://12go.asia/en/travel/central-java/mengwi", "12Go Link")</f>
        <v>12Go Link</v>
      </c>
      <c r="E3355" s="2" t="s">
        <v>60</v>
      </c>
    </row>
    <row r="3356">
      <c r="A3356" s="2" t="s">
        <v>3844</v>
      </c>
      <c r="B3356" s="2" t="s">
        <v>3845</v>
      </c>
      <c r="C3356" s="2" t="s">
        <v>3846</v>
      </c>
      <c r="D3356" s="3" t="str">
        <f>HYPERLINK("https://12go.asia/en/travel/denpasar/boyolali", "12Go Link")</f>
        <v>12Go Link</v>
      </c>
      <c r="E3356" s="2" t="s">
        <v>60</v>
      </c>
    </row>
    <row r="3357">
      <c r="A3357" s="2" t="s">
        <v>3847</v>
      </c>
      <c r="B3357" s="2" t="s">
        <v>3848</v>
      </c>
      <c r="C3357" s="2" t="s">
        <v>3849</v>
      </c>
      <c r="D3357" s="3" t="str">
        <f>HYPERLINK("https://12go.asia/en/travel/depok/bungurasih", "12Go Link")</f>
        <v>12Go Link</v>
      </c>
      <c r="E3357" s="2" t="s">
        <v>60</v>
      </c>
    </row>
    <row r="3358">
      <c r="A3358" s="2" t="s">
        <v>3847</v>
      </c>
      <c r="B3358" s="2" t="s">
        <v>3850</v>
      </c>
      <c r="C3358" s="2" t="s">
        <v>3851</v>
      </c>
      <c r="D3358" s="3" t="str">
        <f>HYPERLINK("https://12go.asia/en/travel/depok/bangkok", "12Go Link")</f>
        <v>12Go Link</v>
      </c>
      <c r="E3358" s="2" t="s">
        <v>60</v>
      </c>
    </row>
    <row r="3359">
      <c r="A3359" s="2" t="s">
        <v>3852</v>
      </c>
      <c r="B3359" s="2" t="s">
        <v>3737</v>
      </c>
      <c r="C3359" s="2" t="s">
        <v>3853</v>
      </c>
      <c r="D3359" s="3" t="str">
        <f>HYPERLINK("https://12go.asia/en/travel/Gili-Air-DPrabu-Fast-Boat/Canggu-Station", "12Go Link")</f>
        <v>12Go Link</v>
      </c>
      <c r="E3359" s="2" t="s">
        <v>240</v>
      </c>
    </row>
    <row r="3360">
      <c r="A3360" s="2" t="s">
        <v>3852</v>
      </c>
      <c r="B3360" s="2" t="s">
        <v>3737</v>
      </c>
      <c r="C3360" s="2" t="s">
        <v>3854</v>
      </c>
      <c r="D3360" s="3" t="str">
        <f>HYPERLINK("https://12go.asia/en/travel/Gili-Air-DPrabu-Fast-Boat/Central-Park-Kuta", "12Go Link")</f>
        <v>12Go Link</v>
      </c>
      <c r="E3360" s="2" t="s">
        <v>240</v>
      </c>
    </row>
    <row r="3361">
      <c r="A3361" s="2" t="s">
        <v>3852</v>
      </c>
      <c r="B3361" s="2" t="s">
        <v>3737</v>
      </c>
      <c r="C3361" s="2" t="s">
        <v>3855</v>
      </c>
      <c r="D3361" s="3" t="str">
        <f>HYPERLINK("https://12go.asia/en/travel/Gili-Air-DPrabu-Fast-Boat/McDonalds-Jimbaran", "12Go Link")</f>
        <v>12Go Link</v>
      </c>
      <c r="E3361" s="2" t="s">
        <v>240</v>
      </c>
    </row>
    <row r="3362">
      <c r="A3362" s="2" t="s">
        <v>3852</v>
      </c>
      <c r="B3362" s="2" t="s">
        <v>3737</v>
      </c>
      <c r="C3362" s="2" t="s">
        <v>3856</v>
      </c>
      <c r="D3362" s="3" t="str">
        <f>HYPERLINK("https://12go.asia/en/travel/Gili-Air-DPrabu-Fast-Boat/Ubud-Palace", "12Go Link")</f>
        <v>12Go Link</v>
      </c>
      <c r="E3362" s="2" t="s">
        <v>240</v>
      </c>
    </row>
    <row r="3363">
      <c r="A3363" s="2" t="s">
        <v>3852</v>
      </c>
      <c r="B3363" s="2" t="s">
        <v>3737</v>
      </c>
      <c r="C3363" s="2" t="s">
        <v>3857</v>
      </c>
      <c r="D3363" s="3" t="str">
        <f>HYPERLINK("https://12go.asia/en/travel/Gili-Air-Eka-Jaya/Padang-Bai-Pier", "12Go Link")</f>
        <v>12Go Link</v>
      </c>
      <c r="E3363" s="2" t="s">
        <v>234</v>
      </c>
    </row>
    <row r="3364">
      <c r="A3364" s="2" t="s">
        <v>3852</v>
      </c>
      <c r="B3364" s="2" t="s">
        <v>135</v>
      </c>
      <c r="C3364" s="2" t="s">
        <v>3858</v>
      </c>
      <c r="D3364" s="3" t="str">
        <f>HYPERLINK("https://12go.asia/en/travel/Gili-Air-DPrabu-Fast-Boat/McDonalds-Sanur", "12Go Link")</f>
        <v>12Go Link</v>
      </c>
      <c r="E3364" s="2" t="s">
        <v>240</v>
      </c>
    </row>
    <row r="3365">
      <c r="A3365" s="2" t="s">
        <v>3755</v>
      </c>
      <c r="B3365" s="2" t="s">
        <v>3737</v>
      </c>
      <c r="C3365" s="2" t="s">
        <v>3859</v>
      </c>
      <c r="D3365" s="3" t="str">
        <f>HYPERLINK("https://12go.asia/en/travel/Gili-Air/Candidasa-Transfer", "12Go Link")</f>
        <v>12Go Link</v>
      </c>
      <c r="E3365" s="2" t="s">
        <v>3757</v>
      </c>
    </row>
    <row r="3366">
      <c r="A3366" s="2" t="s">
        <v>3755</v>
      </c>
      <c r="B3366" s="2" t="s">
        <v>3737</v>
      </c>
      <c r="C3366" s="2" t="s">
        <v>3860</v>
      </c>
      <c r="D3366" s="3" t="str">
        <f>HYPERLINK("https://12go.asia/en/travel/Gili-Air/Canggu-Transfer", "12Go Link")</f>
        <v>12Go Link</v>
      </c>
      <c r="E3366" s="2" t="s">
        <v>3757</v>
      </c>
    </row>
    <row r="3367">
      <c r="A3367" s="2" t="s">
        <v>3755</v>
      </c>
      <c r="B3367" s="2" t="s">
        <v>3737</v>
      </c>
      <c r="C3367" s="2" t="s">
        <v>3861</v>
      </c>
      <c r="D3367" s="3" t="str">
        <f>HYPERLINK("https://12go.asia/en/travel/Gili-Air/Jimbaran-Transfer", "12Go Link")</f>
        <v>12Go Link</v>
      </c>
      <c r="E3367" s="2" t="s">
        <v>3757</v>
      </c>
    </row>
    <row r="3368">
      <c r="A3368" s="2" t="s">
        <v>3755</v>
      </c>
      <c r="B3368" s="2" t="s">
        <v>3737</v>
      </c>
      <c r="C3368" s="2" t="s">
        <v>3862</v>
      </c>
      <c r="D3368" s="3" t="str">
        <f>HYPERLINK("https://12go.asia/en/travel/Gili-Air/Kuta-Transfer", "12Go Link")</f>
        <v>12Go Link</v>
      </c>
      <c r="E3368" s="2" t="s">
        <v>3757</v>
      </c>
    </row>
    <row r="3369">
      <c r="A3369" s="2" t="s">
        <v>3755</v>
      </c>
      <c r="B3369" s="2" t="s">
        <v>3737</v>
      </c>
      <c r="C3369" s="2" t="s">
        <v>3863</v>
      </c>
      <c r="D3369" s="3" t="str">
        <f>HYPERLINK("https://12go.asia/en/travel/Gili-Air/Nusa-Dua-Transfer", "12Go Link")</f>
        <v>12Go Link</v>
      </c>
      <c r="E3369" s="2" t="s">
        <v>3757</v>
      </c>
    </row>
    <row r="3370">
      <c r="A3370" s="2" t="s">
        <v>3755</v>
      </c>
      <c r="B3370" s="2" t="s">
        <v>3737</v>
      </c>
      <c r="C3370" s="2" t="s">
        <v>3864</v>
      </c>
      <c r="D3370" s="3" t="str">
        <f>HYPERLINK("https://12go.asia/en/travel/Gili-Air/Padang-Bai-Pier", "12Go Link")</f>
        <v>12Go Link</v>
      </c>
      <c r="E3370" s="2" t="s">
        <v>234</v>
      </c>
    </row>
    <row r="3371">
      <c r="A3371" s="2" t="s">
        <v>3755</v>
      </c>
      <c r="B3371" s="2" t="s">
        <v>3737</v>
      </c>
      <c r="C3371" s="2" t="s">
        <v>3865</v>
      </c>
      <c r="D3371" s="3" t="str">
        <f>HYPERLINK("https://12go.asia/en/travel/Gili-Air/Pecatu-Transfer", "12Go Link")</f>
        <v>12Go Link</v>
      </c>
      <c r="E3371" s="2" t="s">
        <v>3757</v>
      </c>
    </row>
    <row r="3372">
      <c r="A3372" s="2" t="s">
        <v>3755</v>
      </c>
      <c r="B3372" s="2" t="s">
        <v>3737</v>
      </c>
      <c r="C3372" s="2" t="s">
        <v>3866</v>
      </c>
      <c r="D3372" s="3" t="str">
        <f>HYPERLINK("https://12go.asia/en/travel/Gili-Air/Sidemen-Transfer", "12Go Link")</f>
        <v>12Go Link</v>
      </c>
      <c r="E3372" s="2" t="s">
        <v>3757</v>
      </c>
    </row>
    <row r="3373">
      <c r="A3373" s="2" t="s">
        <v>3755</v>
      </c>
      <c r="B3373" s="2" t="s">
        <v>3737</v>
      </c>
      <c r="C3373" s="2" t="s">
        <v>3867</v>
      </c>
      <c r="D3373" s="3" t="str">
        <f>HYPERLINK("https://12go.asia/en/travel/Gili-Air/Tirta-Gangga-Transfer", "12Go Link")</f>
        <v>12Go Link</v>
      </c>
      <c r="E3373" s="2" t="s">
        <v>3757</v>
      </c>
    </row>
    <row r="3374">
      <c r="A3374" s="2" t="s">
        <v>3755</v>
      </c>
      <c r="B3374" s="2" t="s">
        <v>3737</v>
      </c>
      <c r="C3374" s="2" t="s">
        <v>3868</v>
      </c>
      <c r="D3374" s="3" t="str">
        <f>HYPERLINK("https://12go.asia/en/travel/Gili-Air/Tulamben-Transfer", "12Go Link")</f>
        <v>12Go Link</v>
      </c>
      <c r="E3374" s="2" t="s">
        <v>3757</v>
      </c>
    </row>
    <row r="3375">
      <c r="A3375" s="2" t="s">
        <v>3755</v>
      </c>
      <c r="B3375" s="2" t="s">
        <v>3737</v>
      </c>
      <c r="C3375" s="2" t="s">
        <v>3869</v>
      </c>
      <c r="D3375" s="3" t="str">
        <f>HYPERLINK("https://12go.asia/en/travel/Gili-Air/Uluwatu-Transfer", "12Go Link")</f>
        <v>12Go Link</v>
      </c>
      <c r="E3375" s="2" t="s">
        <v>3757</v>
      </c>
    </row>
    <row r="3376">
      <c r="A3376" s="2" t="s">
        <v>3755</v>
      </c>
      <c r="B3376" s="2" t="s">
        <v>3737</v>
      </c>
      <c r="C3376" s="2" t="s">
        <v>3870</v>
      </c>
      <c r="D3376" s="3" t="str">
        <f>HYPERLINK("https://12go.asia/en/travel/Gili-Trawangan-Pier/Canggu-Station", "12Go Link")</f>
        <v>12Go Link</v>
      </c>
      <c r="E3376" s="2" t="s">
        <v>240</v>
      </c>
    </row>
    <row r="3377">
      <c r="A3377" s="2" t="s">
        <v>3755</v>
      </c>
      <c r="B3377" s="2" t="s">
        <v>3737</v>
      </c>
      <c r="C3377" s="2" t="s">
        <v>3871</v>
      </c>
      <c r="D3377" s="3" t="str">
        <f>HYPERLINK("https://12go.asia/en/travel/Gili-Trawangan-Pier/Central-Park-Kuta", "12Go Link")</f>
        <v>12Go Link</v>
      </c>
      <c r="E3377" s="2" t="s">
        <v>240</v>
      </c>
    </row>
    <row r="3378">
      <c r="A3378" s="2" t="s">
        <v>3755</v>
      </c>
      <c r="B3378" s="2" t="s">
        <v>3737</v>
      </c>
      <c r="C3378" s="2" t="s">
        <v>3872</v>
      </c>
      <c r="D3378" s="3" t="str">
        <f>HYPERLINK("https://12go.asia/en/travel/Gili-Trawangan-Pier/McDonalds-Jimbaran", "12Go Link")</f>
        <v>12Go Link</v>
      </c>
      <c r="E3378" s="2" t="s">
        <v>240</v>
      </c>
    </row>
    <row r="3379">
      <c r="A3379" s="2" t="s">
        <v>3755</v>
      </c>
      <c r="B3379" s="2" t="s">
        <v>3737</v>
      </c>
      <c r="C3379" s="2" t="s">
        <v>3873</v>
      </c>
      <c r="D3379" s="3" t="str">
        <f>HYPERLINK("https://12go.asia/en/travel/Gili-Trawangan-Pier/Ubud-Palace", "12Go Link")</f>
        <v>12Go Link</v>
      </c>
      <c r="E3379" s="2" t="s">
        <v>240</v>
      </c>
    </row>
    <row r="3380">
      <c r="A3380" s="2" t="s">
        <v>3755</v>
      </c>
      <c r="B3380" s="2" t="s">
        <v>3737</v>
      </c>
      <c r="C3380" s="2" t="s">
        <v>3874</v>
      </c>
      <c r="D3380" s="3" t="str">
        <f>HYPERLINK("https://12go.asia/en/travel/Gili-Trawangan-Port/Candidasa-Transfer", "12Go Link")</f>
        <v>12Go Link</v>
      </c>
      <c r="E3380" s="2" t="s">
        <v>3757</v>
      </c>
    </row>
    <row r="3381">
      <c r="A3381" s="2" t="s">
        <v>3755</v>
      </c>
      <c r="B3381" s="2" t="s">
        <v>3737</v>
      </c>
      <c r="C3381" s="2" t="s">
        <v>3875</v>
      </c>
      <c r="D3381" s="3" t="str">
        <f>HYPERLINK("https://12go.asia/en/travel/Gili-Trawangan-Port/Canggu-Transfer", "12Go Link")</f>
        <v>12Go Link</v>
      </c>
      <c r="E3381" s="2" t="s">
        <v>3757</v>
      </c>
    </row>
    <row r="3382">
      <c r="A3382" s="2" t="s">
        <v>3755</v>
      </c>
      <c r="B3382" s="2" t="s">
        <v>3737</v>
      </c>
      <c r="C3382" s="2" t="s">
        <v>3876</v>
      </c>
      <c r="D3382" s="3" t="str">
        <f>HYPERLINK("https://12go.asia/en/travel/Gili-Trawangan-Port/Jimbaran-Transfer", "12Go Link")</f>
        <v>12Go Link</v>
      </c>
      <c r="E3382" s="2" t="s">
        <v>3757</v>
      </c>
    </row>
    <row r="3383">
      <c r="A3383" s="2" t="s">
        <v>3755</v>
      </c>
      <c r="B3383" s="2" t="s">
        <v>3737</v>
      </c>
      <c r="C3383" s="2" t="s">
        <v>3877</v>
      </c>
      <c r="D3383" s="3" t="str">
        <f>HYPERLINK("https://12go.asia/en/travel/Gili-Trawangan-Port/Kuta-Transfer", "12Go Link")</f>
        <v>12Go Link</v>
      </c>
      <c r="E3383" s="2" t="s">
        <v>3757</v>
      </c>
    </row>
    <row r="3384">
      <c r="A3384" s="2" t="s">
        <v>3755</v>
      </c>
      <c r="B3384" s="2" t="s">
        <v>3737</v>
      </c>
      <c r="C3384" s="2" t="s">
        <v>3878</v>
      </c>
      <c r="D3384" s="3" t="str">
        <f>HYPERLINK("https://12go.asia/en/travel/Gili-Trawangan-Port/Nusa-Dua-Transfer", "12Go Link")</f>
        <v>12Go Link</v>
      </c>
      <c r="E3384" s="2" t="s">
        <v>3757</v>
      </c>
    </row>
    <row r="3385">
      <c r="A3385" s="2" t="s">
        <v>3755</v>
      </c>
      <c r="B3385" s="2" t="s">
        <v>3737</v>
      </c>
      <c r="C3385" s="2" t="s">
        <v>3879</v>
      </c>
      <c r="D3385" s="3" t="str">
        <f>HYPERLINK("https://12go.asia/en/travel/Gili-Trawangan-Port/Padang-Bai-Pier", "12Go Link")</f>
        <v>12Go Link</v>
      </c>
      <c r="E3385" s="2" t="s">
        <v>234</v>
      </c>
    </row>
    <row r="3386">
      <c r="A3386" s="2" t="s">
        <v>3755</v>
      </c>
      <c r="B3386" s="2" t="s">
        <v>3737</v>
      </c>
      <c r="C3386" s="2" t="s">
        <v>3880</v>
      </c>
      <c r="D3386" s="3" t="str">
        <f>HYPERLINK("https://12go.asia/en/travel/Gili-Trawangan-Port/Pecatu-Transfer", "12Go Link")</f>
        <v>12Go Link</v>
      </c>
      <c r="E3386" s="2" t="s">
        <v>3757</v>
      </c>
    </row>
    <row r="3387">
      <c r="A3387" s="2" t="s">
        <v>3755</v>
      </c>
      <c r="B3387" s="2" t="s">
        <v>3737</v>
      </c>
      <c r="C3387" s="2" t="s">
        <v>3881</v>
      </c>
      <c r="D3387" s="3" t="str">
        <f>HYPERLINK("https://12go.asia/en/travel/Gili-Trawangan-Port/Sidemen-Transfer", "12Go Link")</f>
        <v>12Go Link</v>
      </c>
      <c r="E3387" s="2" t="s">
        <v>3757</v>
      </c>
    </row>
    <row r="3388">
      <c r="A3388" s="2" t="s">
        <v>3755</v>
      </c>
      <c r="B3388" s="2" t="s">
        <v>3737</v>
      </c>
      <c r="C3388" s="2" t="s">
        <v>3882</v>
      </c>
      <c r="D3388" s="3" t="str">
        <f>HYPERLINK("https://12go.asia/en/travel/Gili-Trawangan-Port/Tirta-Gangga-Transfer", "12Go Link")</f>
        <v>12Go Link</v>
      </c>
      <c r="E3388" s="2" t="s">
        <v>3757</v>
      </c>
    </row>
    <row r="3389">
      <c r="A3389" s="2" t="s">
        <v>3755</v>
      </c>
      <c r="B3389" s="2" t="s">
        <v>3737</v>
      </c>
      <c r="C3389" s="2" t="s">
        <v>3883</v>
      </c>
      <c r="D3389" s="3" t="str">
        <f>HYPERLINK("https://12go.asia/en/travel/Gili-Trawangan-Port/Tulamben-Transfer", "12Go Link")</f>
        <v>12Go Link</v>
      </c>
      <c r="E3389" s="2" t="s">
        <v>3757</v>
      </c>
    </row>
    <row r="3390">
      <c r="A3390" s="2" t="s">
        <v>3755</v>
      </c>
      <c r="B3390" s="2" t="s">
        <v>3737</v>
      </c>
      <c r="C3390" s="2" t="s">
        <v>3884</v>
      </c>
      <c r="D3390" s="3" t="str">
        <f>HYPERLINK("https://12go.asia/en/travel/Gili-Trawangan-Port/Uluwatu-Transfer", "12Go Link")</f>
        <v>12Go Link</v>
      </c>
      <c r="E3390" s="2" t="s">
        <v>3757</v>
      </c>
    </row>
    <row r="3391">
      <c r="A3391" s="2" t="s">
        <v>3755</v>
      </c>
      <c r="B3391" s="2" t="s">
        <v>3781</v>
      </c>
      <c r="C3391" s="2" t="s">
        <v>3885</v>
      </c>
      <c r="D3391" s="3" t="str">
        <f>HYPERLINK("https://12go.asia/en/travel/Gili-Air/Kintamani-Transfer", "12Go Link")</f>
        <v>12Go Link</v>
      </c>
      <c r="E3391" s="2" t="s">
        <v>3757</v>
      </c>
    </row>
    <row r="3392">
      <c r="A3392" s="2" t="s">
        <v>3755</v>
      </c>
      <c r="B3392" s="2" t="s">
        <v>3781</v>
      </c>
      <c r="C3392" s="2" t="s">
        <v>3886</v>
      </c>
      <c r="D3392" s="3" t="str">
        <f>HYPERLINK("https://12go.asia/en/travel/Gili-Trawangan-Port/Kintamani-Transfer", "12Go Link")</f>
        <v>12Go Link</v>
      </c>
      <c r="E3392" s="2" t="s">
        <v>3757</v>
      </c>
    </row>
    <row r="3393">
      <c r="A3393" s="2" t="s">
        <v>3755</v>
      </c>
      <c r="B3393" s="2" t="s">
        <v>135</v>
      </c>
      <c r="C3393" s="2" t="s">
        <v>3887</v>
      </c>
      <c r="D3393" s="3" t="str">
        <f>HYPERLINK("https://12go.asia/en/travel/Gili-Trawangan-Pier/McDonalds-Sanur", "12Go Link")</f>
        <v>12Go Link</v>
      </c>
      <c r="E3393" s="2" t="s">
        <v>240</v>
      </c>
    </row>
    <row r="3394">
      <c r="A3394" s="2" t="s">
        <v>3755</v>
      </c>
      <c r="B3394" s="2" t="s">
        <v>3888</v>
      </c>
      <c r="C3394" s="2" t="s">
        <v>3889</v>
      </c>
      <c r="D3394" s="3" t="str">
        <f>HYPERLINK("https://12go.asia/en/travel/Gili-Air/Seminyak-Transfer", "12Go Link")</f>
        <v>12Go Link</v>
      </c>
      <c r="E3394" s="2" t="s">
        <v>3757</v>
      </c>
    </row>
    <row r="3395">
      <c r="A3395" s="2" t="s">
        <v>3755</v>
      </c>
      <c r="B3395" s="2" t="s">
        <v>3888</v>
      </c>
      <c r="C3395" s="2" t="s">
        <v>3890</v>
      </c>
      <c r="D3395" s="3" t="str">
        <f>HYPERLINK("https://12go.asia/en/travel/Gili-Trawangan-Port/Seminyak-Transfer", "12Go Link")</f>
        <v>12Go Link</v>
      </c>
      <c r="E3395" s="2" t="s">
        <v>3757</v>
      </c>
    </row>
    <row r="3396">
      <c r="A3396" s="2" t="s">
        <v>3755</v>
      </c>
      <c r="B3396" s="2" t="s">
        <v>63</v>
      </c>
      <c r="C3396" s="2" t="s">
        <v>3891</v>
      </c>
      <c r="D3396" s="3" t="str">
        <f>HYPERLINK("https://12go.asia/en/travel/Gili-Air/Ubud-Transfer", "12Go Link")</f>
        <v>12Go Link</v>
      </c>
      <c r="E3396" s="2" t="s">
        <v>3757</v>
      </c>
    </row>
    <row r="3397">
      <c r="A3397" s="2" t="s">
        <v>3755</v>
      </c>
      <c r="B3397" s="2" t="s">
        <v>63</v>
      </c>
      <c r="C3397" s="2" t="s">
        <v>3892</v>
      </c>
      <c r="D3397" s="3" t="str">
        <f>HYPERLINK("https://12go.asia/en/travel/Gili-Trawangan-Port/Ubud-Transfer", "12Go Link")</f>
        <v>12Go Link</v>
      </c>
      <c r="E3397" s="2" t="s">
        <v>3757</v>
      </c>
    </row>
    <row r="3398">
      <c r="A3398" s="2" t="s">
        <v>3893</v>
      </c>
      <c r="B3398" s="2" t="s">
        <v>3737</v>
      </c>
      <c r="C3398" s="2" t="s">
        <v>3894</v>
      </c>
      <c r="D3398" s="3" t="str">
        <f>HYPERLINK("https://12go.asia/en/travel/Gili-Meno/Padang-Bai-Pier", "12Go Link")</f>
        <v>12Go Link</v>
      </c>
      <c r="E3398" s="2" t="s">
        <v>234</v>
      </c>
    </row>
    <row r="3399">
      <c r="A3399" s="2" t="s">
        <v>3822</v>
      </c>
      <c r="B3399" s="2" t="s">
        <v>3737</v>
      </c>
      <c r="C3399" s="2" t="s">
        <v>3895</v>
      </c>
      <c r="D3399" s="3" t="str">
        <f>HYPERLINK("https://12go.asia/en/travel/Gili-Trawangan-Beach/Padang-Bai-Pier", "12Go Link")</f>
        <v>12Go Link</v>
      </c>
      <c r="E3399" s="2" t="s">
        <v>234</v>
      </c>
    </row>
    <row r="3400">
      <c r="A3400" s="2" t="s">
        <v>3822</v>
      </c>
      <c r="B3400" s="2" t="s">
        <v>131</v>
      </c>
      <c r="C3400" s="2" t="s">
        <v>3896</v>
      </c>
      <c r="D3400" s="3" t="str">
        <f>HYPERLINK("https://12go.asia/en/travel/gili-trawangan-starfish/nusa-penida", "12Go Link")</f>
        <v>12Go Link</v>
      </c>
      <c r="E3400" s="2" t="s">
        <v>3897</v>
      </c>
    </row>
    <row r="3401">
      <c r="A3401" s="2" t="s">
        <v>61</v>
      </c>
      <c r="B3401" s="2" t="s">
        <v>3755</v>
      </c>
      <c r="C3401" s="2" t="s">
        <v>3898</v>
      </c>
      <c r="D3401" s="3" t="str">
        <f>HYPERLINK("https://12go.asia/en/travel/Mc-Donald-Restaurant/Gili-Air", "12Go Link")</f>
        <v>12Go Link</v>
      </c>
      <c r="E3401" s="2" t="s">
        <v>234</v>
      </c>
    </row>
    <row r="3402">
      <c r="A3402" s="2" t="s">
        <v>61</v>
      </c>
      <c r="B3402" s="2" t="s">
        <v>3755</v>
      </c>
      <c r="C3402" s="2" t="s">
        <v>3899</v>
      </c>
      <c r="D3402" s="3" t="str">
        <f>HYPERLINK("https://12go.asia/en/travel/Mc-Donald-Restaurant/Gili-Meno", "12Go Link")</f>
        <v>12Go Link</v>
      </c>
      <c r="E3402" s="2" t="s">
        <v>234</v>
      </c>
    </row>
    <row r="3403">
      <c r="A3403" s="2" t="s">
        <v>61</v>
      </c>
      <c r="B3403" s="2" t="s">
        <v>3822</v>
      </c>
      <c r="C3403" s="2" t="s">
        <v>3900</v>
      </c>
      <c r="D3403" s="3" t="str">
        <f>HYPERLINK("https://12go.asia/en/travel/Mc-Donald-Restaurant/Gili-Trawangan-Beach", "12Go Link")</f>
        <v>12Go Link</v>
      </c>
      <c r="E3403" s="2" t="s">
        <v>234</v>
      </c>
    </row>
    <row r="3404">
      <c r="A3404" s="2" t="s">
        <v>61</v>
      </c>
      <c r="B3404" s="2" t="s">
        <v>3783</v>
      </c>
      <c r="C3404" s="2" t="s">
        <v>3901</v>
      </c>
      <c r="D3404" s="3" t="str">
        <f>HYPERLINK("https://12go.asia/en/travel/Mc-Donald-Restaurant/Bangsal-Indah", "12Go Link")</f>
        <v>12Go Link</v>
      </c>
      <c r="E3404" s="2" t="s">
        <v>234</v>
      </c>
    </row>
    <row r="3405">
      <c r="A3405" s="2" t="s">
        <v>3902</v>
      </c>
      <c r="B3405" s="2" t="s">
        <v>3737</v>
      </c>
      <c r="C3405" s="2" t="s">
        <v>3903</v>
      </c>
      <c r="D3405" s="3" t="str">
        <f>HYPERLINK("https://12go.asia/en/travel/karanganyar/bali", "12Go Link")</f>
        <v>12Go Link</v>
      </c>
      <c r="E3405" s="2" t="s">
        <v>60</v>
      </c>
    </row>
    <row r="3406">
      <c r="A3406" s="2" t="s">
        <v>3781</v>
      </c>
      <c r="B3406" s="2" t="s">
        <v>3737</v>
      </c>
      <c r="C3406" s="2" t="s">
        <v>3904</v>
      </c>
      <c r="D3406" s="3" t="str">
        <f>HYPERLINK("https://12go.asia/en/travel/Kintamani-Transfer/Canggu-Transfer", "12Go Link")</f>
        <v>12Go Link</v>
      </c>
      <c r="E3406" s="2" t="s">
        <v>3739</v>
      </c>
    </row>
    <row r="3407">
      <c r="A3407" s="2" t="s">
        <v>3781</v>
      </c>
      <c r="B3407" s="2" t="s">
        <v>3737</v>
      </c>
      <c r="C3407" s="2" t="s">
        <v>3905</v>
      </c>
      <c r="D3407" s="3" t="str">
        <f>HYPERLINK("https://12go.asia/en/travel/Kintamani-Transfer/Munduk-Transfer", "12Go Link")</f>
        <v>12Go Link</v>
      </c>
      <c r="E3407" s="2" t="s">
        <v>215</v>
      </c>
    </row>
    <row r="3408">
      <c r="A3408" s="2" t="s">
        <v>3781</v>
      </c>
      <c r="B3408" s="2" t="s">
        <v>3737</v>
      </c>
      <c r="C3408" s="2" t="s">
        <v>3906</v>
      </c>
      <c r="D3408" s="3" t="str">
        <f>HYPERLINK("https://12go.asia/en/travel/Kintamani-Transfer/Nusa-Dua-Transfer", "12Go Link")</f>
        <v>12Go Link</v>
      </c>
      <c r="E3408" s="2" t="s">
        <v>3739</v>
      </c>
    </row>
    <row r="3409">
      <c r="A3409" s="2" t="s">
        <v>3781</v>
      </c>
      <c r="B3409" s="2" t="s">
        <v>3737</v>
      </c>
      <c r="C3409" s="2" t="s">
        <v>3907</v>
      </c>
      <c r="D3409" s="3" t="str">
        <f>HYPERLINK("https://12go.asia/en/travel/Tejakula/Padang-Bai-Transfer", "12Go Link")</f>
        <v>12Go Link</v>
      </c>
      <c r="E3409" s="2" t="s">
        <v>215</v>
      </c>
    </row>
    <row r="3410">
      <c r="A3410" s="2" t="s">
        <v>3781</v>
      </c>
      <c r="B3410" s="2" t="s">
        <v>3755</v>
      </c>
      <c r="C3410" s="2" t="s">
        <v>3908</v>
      </c>
      <c r="D3410" s="3" t="str">
        <f>HYPERLINK("https://12go.asia/en/travel/Kintamani-Transfer/Gili-Air", "12Go Link")</f>
        <v>12Go Link</v>
      </c>
      <c r="E3410" s="2" t="s">
        <v>3757</v>
      </c>
    </row>
    <row r="3411">
      <c r="A3411" s="2" t="s">
        <v>3781</v>
      </c>
      <c r="B3411" s="2" t="s">
        <v>3755</v>
      </c>
      <c r="C3411" s="2" t="s">
        <v>3909</v>
      </c>
      <c r="D3411" s="3" t="str">
        <f>HYPERLINK("https://12go.asia/en/travel/Kintamani-Transfer/Gili-Trawangan-Port", "12Go Link")</f>
        <v>12Go Link</v>
      </c>
      <c r="E3411" s="2" t="s">
        <v>3757</v>
      </c>
    </row>
    <row r="3412">
      <c r="A3412" s="2" t="s">
        <v>3781</v>
      </c>
      <c r="B3412" s="2" t="s">
        <v>3783</v>
      </c>
      <c r="C3412" s="2" t="s">
        <v>3910</v>
      </c>
      <c r="D3412" s="3" t="str">
        <f>HYPERLINK("https://12go.asia/en/travel/Kintamani-Transfer/Bangsal-Pier", "12Go Link")</f>
        <v>12Go Link</v>
      </c>
      <c r="E3412" s="2" t="s">
        <v>3757</v>
      </c>
    </row>
    <row r="3413">
      <c r="A3413" s="2" t="s">
        <v>3781</v>
      </c>
      <c r="B3413" s="2" t="s">
        <v>135</v>
      </c>
      <c r="C3413" s="2" t="s">
        <v>3911</v>
      </c>
      <c r="D3413" s="3" t="str">
        <f>HYPERLINK("https://12go.asia/en/travel/Kintamani-Transfer/Sanur-Transfer", "12Go Link")</f>
        <v>12Go Link</v>
      </c>
      <c r="E3413" s="2" t="s">
        <v>3739</v>
      </c>
    </row>
    <row r="3414">
      <c r="A3414" s="2" t="s">
        <v>3912</v>
      </c>
      <c r="B3414" s="2" t="s">
        <v>3755</v>
      </c>
      <c r="C3414" s="2" t="s">
        <v>3913</v>
      </c>
      <c r="D3414" s="3" t="str">
        <f>HYPERLINK("https://12go.asia/en/travel/Front-of-Hard-Rock-Cafe/Gili-Air", "12Go Link")</f>
        <v>12Go Link</v>
      </c>
      <c r="E3414" s="2" t="s">
        <v>234</v>
      </c>
    </row>
    <row r="3415">
      <c r="A3415" s="2" t="s">
        <v>3912</v>
      </c>
      <c r="B3415" s="2" t="s">
        <v>3755</v>
      </c>
      <c r="C3415" s="2" t="s">
        <v>3914</v>
      </c>
      <c r="D3415" s="3" t="str">
        <f>HYPERLINK("https://12go.asia/en/travel/Front-of-Hard-Rock-Cafe/Gili-Meno", "12Go Link")</f>
        <v>12Go Link</v>
      </c>
      <c r="E3415" s="2" t="s">
        <v>234</v>
      </c>
    </row>
    <row r="3416">
      <c r="A3416" s="2" t="s">
        <v>3912</v>
      </c>
      <c r="B3416" s="2" t="s">
        <v>3822</v>
      </c>
      <c r="C3416" s="2" t="s">
        <v>3915</v>
      </c>
      <c r="D3416" s="3" t="str">
        <f>HYPERLINK("https://12go.asia/en/travel/Front-of-Hard-Rock-Cafe/Gili-Trawangan-Beach", "12Go Link")</f>
        <v>12Go Link</v>
      </c>
      <c r="E3416" s="2" t="s">
        <v>234</v>
      </c>
    </row>
    <row r="3417">
      <c r="A3417" s="2" t="s">
        <v>3912</v>
      </c>
      <c r="B3417" s="2" t="s">
        <v>3783</v>
      </c>
      <c r="C3417" s="2" t="s">
        <v>3916</v>
      </c>
      <c r="D3417" s="3" t="str">
        <f>HYPERLINK("https://12go.asia/en/travel/Front-of-Hard-Rock-Cafe/Bangsal-Indah", "12Go Link")</f>
        <v>12Go Link</v>
      </c>
      <c r="E3417" s="2" t="s">
        <v>234</v>
      </c>
    </row>
    <row r="3418">
      <c r="A3418" s="2" t="s">
        <v>3917</v>
      </c>
      <c r="B3418" s="2" t="s">
        <v>3755</v>
      </c>
      <c r="C3418" s="2" t="s">
        <v>3918</v>
      </c>
      <c r="D3418" s="3" t="str">
        <f>HYPERLINK("https://12go.asia/en/travel/Ground-Zero/Gili-Air", "12Go Link")</f>
        <v>12Go Link</v>
      </c>
      <c r="E3418" s="2" t="s">
        <v>234</v>
      </c>
    </row>
    <row r="3419">
      <c r="A3419" s="2" t="s">
        <v>3917</v>
      </c>
      <c r="B3419" s="2" t="s">
        <v>3755</v>
      </c>
      <c r="C3419" s="2" t="s">
        <v>3919</v>
      </c>
      <c r="D3419" s="3" t="str">
        <f>HYPERLINK("https://12go.asia/en/travel/Ground-Zero/Gili-Meno", "12Go Link")</f>
        <v>12Go Link</v>
      </c>
      <c r="E3419" s="2" t="s">
        <v>234</v>
      </c>
    </row>
    <row r="3420">
      <c r="A3420" s="2" t="s">
        <v>3917</v>
      </c>
      <c r="B3420" s="2" t="s">
        <v>3822</v>
      </c>
      <c r="C3420" s="2" t="s">
        <v>3920</v>
      </c>
      <c r="D3420" s="3" t="str">
        <f>HYPERLINK("https://12go.asia/en/travel/Ground-Zero/Gili-Trawangan-Beach", "12Go Link")</f>
        <v>12Go Link</v>
      </c>
      <c r="E3420" s="2" t="s">
        <v>234</v>
      </c>
    </row>
    <row r="3421">
      <c r="A3421" s="2" t="s">
        <v>3917</v>
      </c>
      <c r="B3421" s="2" t="s">
        <v>3783</v>
      </c>
      <c r="C3421" s="2" t="s">
        <v>3921</v>
      </c>
      <c r="D3421" s="3" t="str">
        <f>HYPERLINK("https://12go.asia/en/travel/Ground-Zero/Bangsal-Indah", "12Go Link")</f>
        <v>12Go Link</v>
      </c>
      <c r="E3421" s="2" t="s">
        <v>234</v>
      </c>
    </row>
    <row r="3422">
      <c r="A3422" s="2" t="s">
        <v>3783</v>
      </c>
      <c r="B3422" s="2" t="s">
        <v>3737</v>
      </c>
      <c r="C3422" s="2" t="s">
        <v>3922</v>
      </c>
      <c r="D3422" s="3" t="str">
        <f>HYPERLINK("https://12go.asia/en/travel/Bangsal-DPrabu-Fast-Boat/Canggu-Station", "12Go Link")</f>
        <v>12Go Link</v>
      </c>
      <c r="E3422" s="2" t="s">
        <v>240</v>
      </c>
    </row>
    <row r="3423">
      <c r="A3423" s="2" t="s">
        <v>3783</v>
      </c>
      <c r="B3423" s="2" t="s">
        <v>3737</v>
      </c>
      <c r="C3423" s="2" t="s">
        <v>3923</v>
      </c>
      <c r="D3423" s="3" t="str">
        <f>HYPERLINK("https://12go.asia/en/travel/Bangsal-DPrabu-Fast-Boat/Central-Park-Kuta", "12Go Link")</f>
        <v>12Go Link</v>
      </c>
      <c r="E3423" s="2" t="s">
        <v>240</v>
      </c>
    </row>
    <row r="3424">
      <c r="A3424" s="2" t="s">
        <v>3783</v>
      </c>
      <c r="B3424" s="2" t="s">
        <v>3737</v>
      </c>
      <c r="C3424" s="2" t="s">
        <v>3924</v>
      </c>
      <c r="D3424" s="3" t="str">
        <f>HYPERLINK("https://12go.asia/en/travel/Bangsal-DPrabu-Fast-Boat/McDonalds-Jimbaran", "12Go Link")</f>
        <v>12Go Link</v>
      </c>
      <c r="E3424" s="2" t="s">
        <v>240</v>
      </c>
    </row>
    <row r="3425">
      <c r="A3425" s="2" t="s">
        <v>3783</v>
      </c>
      <c r="B3425" s="2" t="s">
        <v>3737</v>
      </c>
      <c r="C3425" s="2" t="s">
        <v>3925</v>
      </c>
      <c r="D3425" s="3" t="str">
        <f>HYPERLINK("https://12go.asia/en/travel/Bangsal-DPrabu-Fast-Boat/Ubud-Palace", "12Go Link")</f>
        <v>12Go Link</v>
      </c>
      <c r="E3425" s="2" t="s">
        <v>240</v>
      </c>
    </row>
    <row r="3426">
      <c r="A3426" s="2" t="s">
        <v>3783</v>
      </c>
      <c r="B3426" s="2" t="s">
        <v>3737</v>
      </c>
      <c r="C3426" s="2" t="s">
        <v>3926</v>
      </c>
      <c r="D3426" s="3" t="str">
        <f>HYPERLINK("https://12go.asia/en/travel/Bangsal-Eka-Jaya/Padang-Bai-Pier", "12Go Link")</f>
        <v>12Go Link</v>
      </c>
      <c r="E3426" s="2" t="s">
        <v>234</v>
      </c>
    </row>
    <row r="3427">
      <c r="A3427" s="2" t="s">
        <v>3783</v>
      </c>
      <c r="B3427" s="2" t="s">
        <v>3737</v>
      </c>
      <c r="C3427" s="2" t="s">
        <v>3927</v>
      </c>
      <c r="D3427" s="3" t="str">
        <f>HYPERLINK("https://12go.asia/en/travel/Bangsal-Pier/Candidasa-Transfer", "12Go Link")</f>
        <v>12Go Link</v>
      </c>
      <c r="E3427" s="2" t="s">
        <v>3757</v>
      </c>
    </row>
    <row r="3428">
      <c r="A3428" s="2" t="s">
        <v>3783</v>
      </c>
      <c r="B3428" s="2" t="s">
        <v>3737</v>
      </c>
      <c r="C3428" s="2" t="s">
        <v>3928</v>
      </c>
      <c r="D3428" s="3" t="str">
        <f>HYPERLINK("https://12go.asia/en/travel/Bangsal-Pier/Canggu-Transfer", "12Go Link")</f>
        <v>12Go Link</v>
      </c>
      <c r="E3428" s="2" t="s">
        <v>3757</v>
      </c>
    </row>
    <row r="3429">
      <c r="A3429" s="2" t="s">
        <v>3783</v>
      </c>
      <c r="B3429" s="2" t="s">
        <v>3737</v>
      </c>
      <c r="C3429" s="2" t="s">
        <v>3929</v>
      </c>
      <c r="D3429" s="3" t="str">
        <f>HYPERLINK("https://12go.asia/en/travel/Bangsal-Pier/Jimbaran-Transfer", "12Go Link")</f>
        <v>12Go Link</v>
      </c>
      <c r="E3429" s="2" t="s">
        <v>3757</v>
      </c>
    </row>
    <row r="3430">
      <c r="A3430" s="2" t="s">
        <v>3783</v>
      </c>
      <c r="B3430" s="2" t="s">
        <v>3737</v>
      </c>
      <c r="C3430" s="2" t="s">
        <v>3930</v>
      </c>
      <c r="D3430" s="3" t="str">
        <f>HYPERLINK("https://12go.asia/en/travel/Bangsal-Pier/Kuta-Transfer", "12Go Link")</f>
        <v>12Go Link</v>
      </c>
      <c r="E3430" s="2" t="s">
        <v>3757</v>
      </c>
    </row>
    <row r="3431">
      <c r="A3431" s="2" t="s">
        <v>3783</v>
      </c>
      <c r="B3431" s="2" t="s">
        <v>3737</v>
      </c>
      <c r="C3431" s="2" t="s">
        <v>3931</v>
      </c>
      <c r="D3431" s="3" t="str">
        <f>HYPERLINK("https://12go.asia/en/travel/Bangsal-Pier/Nusa-Dua-Transfer", "12Go Link")</f>
        <v>12Go Link</v>
      </c>
      <c r="E3431" s="2" t="s">
        <v>3757</v>
      </c>
    </row>
    <row r="3432">
      <c r="A3432" s="2" t="s">
        <v>3783</v>
      </c>
      <c r="B3432" s="2" t="s">
        <v>3737</v>
      </c>
      <c r="C3432" s="2" t="s">
        <v>3932</v>
      </c>
      <c r="D3432" s="3" t="str">
        <f>HYPERLINK("https://12go.asia/en/travel/Bangsal-Pier/Padang-Bai-Pier", "12Go Link")</f>
        <v>12Go Link</v>
      </c>
      <c r="E3432" s="2" t="s">
        <v>234</v>
      </c>
    </row>
    <row r="3433">
      <c r="A3433" s="2" t="s">
        <v>3783</v>
      </c>
      <c r="B3433" s="2" t="s">
        <v>3737</v>
      </c>
      <c r="C3433" s="2" t="s">
        <v>3933</v>
      </c>
      <c r="D3433" s="3" t="str">
        <f>HYPERLINK("https://12go.asia/en/travel/Bangsal-Pier/Pecatu-Transfer", "12Go Link")</f>
        <v>12Go Link</v>
      </c>
      <c r="E3433" s="2" t="s">
        <v>3757</v>
      </c>
    </row>
    <row r="3434">
      <c r="A3434" s="2" t="s">
        <v>3783</v>
      </c>
      <c r="B3434" s="2" t="s">
        <v>3737</v>
      </c>
      <c r="C3434" s="2" t="s">
        <v>3934</v>
      </c>
      <c r="D3434" s="3" t="str">
        <f>HYPERLINK("https://12go.asia/en/travel/Bangsal-Pier/Sidemen-Transfer", "12Go Link")</f>
        <v>12Go Link</v>
      </c>
      <c r="E3434" s="2" t="s">
        <v>3757</v>
      </c>
    </row>
    <row r="3435">
      <c r="A3435" s="2" t="s">
        <v>3783</v>
      </c>
      <c r="B3435" s="2" t="s">
        <v>3737</v>
      </c>
      <c r="C3435" s="2" t="s">
        <v>3935</v>
      </c>
      <c r="D3435" s="3" t="str">
        <f>HYPERLINK("https://12go.asia/en/travel/Bangsal-Pier/Tirta-Gangga-Transfer", "12Go Link")</f>
        <v>12Go Link</v>
      </c>
      <c r="E3435" s="2" t="s">
        <v>3757</v>
      </c>
    </row>
    <row r="3436">
      <c r="A3436" s="2" t="s">
        <v>3783</v>
      </c>
      <c r="B3436" s="2" t="s">
        <v>3737</v>
      </c>
      <c r="C3436" s="2" t="s">
        <v>3936</v>
      </c>
      <c r="D3436" s="3" t="str">
        <f>HYPERLINK("https://12go.asia/en/travel/Bangsal-Pier/Tulamben-Transfer", "12Go Link")</f>
        <v>12Go Link</v>
      </c>
      <c r="E3436" s="2" t="s">
        <v>3757</v>
      </c>
    </row>
    <row r="3437">
      <c r="A3437" s="2" t="s">
        <v>3783</v>
      </c>
      <c r="B3437" s="2" t="s">
        <v>3737</v>
      </c>
      <c r="C3437" s="2" t="s">
        <v>3937</v>
      </c>
      <c r="D3437" s="3" t="str">
        <f>HYPERLINK("https://12go.asia/en/travel/Bangsal-Pier/Uluwatu-Transfer", "12Go Link")</f>
        <v>12Go Link</v>
      </c>
      <c r="E3437" s="2" t="s">
        <v>3757</v>
      </c>
    </row>
    <row r="3438">
      <c r="A3438" s="2" t="s">
        <v>3783</v>
      </c>
      <c r="B3438" s="2" t="s">
        <v>3737</v>
      </c>
      <c r="C3438" s="2" t="s">
        <v>3938</v>
      </c>
      <c r="D3438" s="3" t="str">
        <f>HYPERLINK("https://12go.asia/en/travel/Senggigi-Pier/Padang-Bai-Pier", "12Go Link")</f>
        <v>12Go Link</v>
      </c>
      <c r="E3438" s="2" t="s">
        <v>234</v>
      </c>
    </row>
    <row r="3439">
      <c r="A3439" s="2" t="s">
        <v>3783</v>
      </c>
      <c r="B3439" s="2" t="s">
        <v>3781</v>
      </c>
      <c r="C3439" s="2" t="s">
        <v>3939</v>
      </c>
      <c r="D3439" s="3" t="str">
        <f>HYPERLINK("https://12go.asia/en/travel/Bangsal-Pier/Kintamani-Transfer", "12Go Link")</f>
        <v>12Go Link</v>
      </c>
      <c r="E3439" s="2" t="s">
        <v>3757</v>
      </c>
    </row>
    <row r="3440">
      <c r="A3440" s="2" t="s">
        <v>3783</v>
      </c>
      <c r="B3440" s="2" t="s">
        <v>3783</v>
      </c>
      <c r="C3440" s="2" t="s">
        <v>3940</v>
      </c>
      <c r="D3440" s="3" t="str">
        <f>HYPERLINK("https://12go.asia/en/travel/Bangsal-Pier/Ekas", "12Go Link")</f>
        <v>12Go Link</v>
      </c>
      <c r="E3440" s="2" t="s">
        <v>3941</v>
      </c>
    </row>
    <row r="3441">
      <c r="A3441" s="2" t="s">
        <v>3783</v>
      </c>
      <c r="B3441" s="2" t="s">
        <v>3783</v>
      </c>
      <c r="C3441" s="2" t="s">
        <v>3942</v>
      </c>
      <c r="D3441" s="3" t="str">
        <f>HYPERLINK("https://12go.asia/en/travel/Bangsal-Pier/Gangga", "12Go Link")</f>
        <v>12Go Link</v>
      </c>
      <c r="E3441" s="2" t="s">
        <v>3941</v>
      </c>
    </row>
    <row r="3442">
      <c r="A3442" s="2" t="s">
        <v>3783</v>
      </c>
      <c r="B3442" s="2" t="s">
        <v>3783</v>
      </c>
      <c r="C3442" s="2" t="s">
        <v>3943</v>
      </c>
      <c r="D3442" s="3" t="str">
        <f>HYPERLINK("https://12go.asia/en/travel/Bangsal-Pier/Gerung", "12Go Link")</f>
        <v>12Go Link</v>
      </c>
      <c r="E3442" s="2" t="s">
        <v>3941</v>
      </c>
    </row>
    <row r="3443">
      <c r="A3443" s="2" t="s">
        <v>3783</v>
      </c>
      <c r="B3443" s="2" t="s">
        <v>3783</v>
      </c>
      <c r="C3443" s="2" t="s">
        <v>3944</v>
      </c>
      <c r="D3443" s="3" t="str">
        <f>HYPERLINK("https://12go.asia/en/travel/Bangsal-Pier/Gerupuk", "12Go Link")</f>
        <v>12Go Link</v>
      </c>
      <c r="E3443" s="2" t="s">
        <v>3941</v>
      </c>
    </row>
    <row r="3444">
      <c r="A3444" s="2" t="s">
        <v>3783</v>
      </c>
      <c r="B3444" s="2" t="s">
        <v>3783</v>
      </c>
      <c r="C3444" s="2" t="s">
        <v>3945</v>
      </c>
      <c r="D3444" s="3" t="str">
        <f>HYPERLINK("https://12go.asia/en/travel/Bangsal-Pier/Kuta-Lombok", "12Go Link")</f>
        <v>12Go Link</v>
      </c>
      <c r="E3444" s="2" t="s">
        <v>3941</v>
      </c>
    </row>
    <row r="3445">
      <c r="A3445" s="2" t="s">
        <v>3783</v>
      </c>
      <c r="B3445" s="2" t="s">
        <v>3783</v>
      </c>
      <c r="C3445" s="2" t="s">
        <v>3946</v>
      </c>
      <c r="D3445" s="3" t="str">
        <f>HYPERLINK("https://12go.asia/en/travel/Bangsal-Pier/Labuhan", "12Go Link")</f>
        <v>12Go Link</v>
      </c>
      <c r="E3445" s="2" t="s">
        <v>3941</v>
      </c>
    </row>
    <row r="3446">
      <c r="A3446" s="2" t="s">
        <v>3783</v>
      </c>
      <c r="B3446" s="2" t="s">
        <v>3783</v>
      </c>
      <c r="C3446" s="2" t="s">
        <v>3947</v>
      </c>
      <c r="D3446" s="3" t="str">
        <f>HYPERLINK("https://12go.asia/en/travel/Bangsal-Pier/Lembar-Port", "12Go Link")</f>
        <v>12Go Link</v>
      </c>
      <c r="E3446" s="2" t="s">
        <v>3941</v>
      </c>
    </row>
    <row r="3447">
      <c r="A3447" s="2" t="s">
        <v>3783</v>
      </c>
      <c r="B3447" s="2" t="s">
        <v>3783</v>
      </c>
      <c r="C3447" s="2" t="s">
        <v>3948</v>
      </c>
      <c r="D3447" s="3" t="str">
        <f>HYPERLINK("https://12go.asia/en/travel/Bangsal-Pier/Lombok-Airport", "12Go Link")</f>
        <v>12Go Link</v>
      </c>
      <c r="E3447" s="2" t="s">
        <v>3941</v>
      </c>
    </row>
    <row r="3448">
      <c r="A3448" s="2" t="s">
        <v>3783</v>
      </c>
      <c r="B3448" s="2" t="s">
        <v>3783</v>
      </c>
      <c r="C3448" s="2" t="s">
        <v>3949</v>
      </c>
      <c r="D3448" s="3" t="str">
        <f>HYPERLINK("https://12go.asia/en/travel/Bangsal-Pier/Mandalika", "12Go Link")</f>
        <v>12Go Link</v>
      </c>
      <c r="E3448" s="2" t="s">
        <v>3941</v>
      </c>
    </row>
    <row r="3449">
      <c r="A3449" s="2" t="s">
        <v>3783</v>
      </c>
      <c r="B3449" s="2" t="s">
        <v>3783</v>
      </c>
      <c r="C3449" s="2" t="s">
        <v>3950</v>
      </c>
      <c r="D3449" s="3" t="str">
        <f>HYPERLINK("https://12go.asia/en/travel/Bangsal-Pier/Mataram", "12Go Link")</f>
        <v>12Go Link</v>
      </c>
      <c r="E3449" s="2" t="s">
        <v>3941</v>
      </c>
    </row>
    <row r="3450">
      <c r="A3450" s="2" t="s">
        <v>3783</v>
      </c>
      <c r="B3450" s="2" t="s">
        <v>3783</v>
      </c>
      <c r="C3450" s="2" t="s">
        <v>3951</v>
      </c>
      <c r="D3450" s="3" t="str">
        <f>HYPERLINK("https://12go.asia/en/travel/Bangsal-Pier/Sekotong", "12Go Link")</f>
        <v>12Go Link</v>
      </c>
      <c r="E3450" s="2" t="s">
        <v>3941</v>
      </c>
    </row>
    <row r="3451">
      <c r="A3451" s="2" t="s">
        <v>3783</v>
      </c>
      <c r="B3451" s="2" t="s">
        <v>3783</v>
      </c>
      <c r="C3451" s="2" t="s">
        <v>3952</v>
      </c>
      <c r="D3451" s="3" t="str">
        <f>HYPERLINK("https://12go.asia/en/travel/Bangsal-Pier/Selong-Belanak", "12Go Link")</f>
        <v>12Go Link</v>
      </c>
      <c r="E3451" s="2" t="s">
        <v>3941</v>
      </c>
    </row>
    <row r="3452">
      <c r="A3452" s="2" t="s">
        <v>3783</v>
      </c>
      <c r="B3452" s="2" t="s">
        <v>3783</v>
      </c>
      <c r="C3452" s="2" t="s">
        <v>3953</v>
      </c>
      <c r="D3452" s="3" t="str">
        <f>HYPERLINK("https://12go.asia/en/travel/Bangsal-Pier/Sembalun", "12Go Link")</f>
        <v>12Go Link</v>
      </c>
      <c r="E3452" s="2" t="s">
        <v>3941</v>
      </c>
    </row>
    <row r="3453">
      <c r="A3453" s="2" t="s">
        <v>3783</v>
      </c>
      <c r="B3453" s="2" t="s">
        <v>3783</v>
      </c>
      <c r="C3453" s="2" t="s">
        <v>3954</v>
      </c>
      <c r="D3453" s="3" t="str">
        <f>HYPERLINK("https://12go.asia/en/travel/Bangsal-Pier/Senaru", "12Go Link")</f>
        <v>12Go Link</v>
      </c>
      <c r="E3453" s="2" t="s">
        <v>3941</v>
      </c>
    </row>
    <row r="3454">
      <c r="A3454" s="2" t="s">
        <v>3783</v>
      </c>
      <c r="B3454" s="2" t="s">
        <v>3783</v>
      </c>
      <c r="C3454" s="2" t="s">
        <v>3955</v>
      </c>
      <c r="D3454" s="3" t="str">
        <f>HYPERLINK("https://12go.asia/en/travel/Bangsal-Pier/Senggigi-Pier", "12Go Link")</f>
        <v>12Go Link</v>
      </c>
      <c r="E3454" s="2" t="s">
        <v>3941</v>
      </c>
    </row>
    <row r="3455">
      <c r="A3455" s="2" t="s">
        <v>3783</v>
      </c>
      <c r="B3455" s="2" t="s">
        <v>3783</v>
      </c>
      <c r="C3455" s="2" t="s">
        <v>3956</v>
      </c>
      <c r="D3455" s="3" t="str">
        <f>HYPERLINK("https://12go.asia/en/travel/Bangsal-Pier/Sira", "12Go Link")</f>
        <v>12Go Link</v>
      </c>
      <c r="E3455" s="2" t="s">
        <v>3941</v>
      </c>
    </row>
    <row r="3456">
      <c r="A3456" s="2" t="s">
        <v>3783</v>
      </c>
      <c r="B3456" s="2" t="s">
        <v>3783</v>
      </c>
      <c r="C3456" s="2" t="s">
        <v>3957</v>
      </c>
      <c r="D3456" s="3" t="str">
        <f>HYPERLINK("https://12go.asia/en/travel/Bangsal-Pier/Tandjung", "12Go Link")</f>
        <v>12Go Link</v>
      </c>
      <c r="E3456" s="2" t="s">
        <v>3941</v>
      </c>
    </row>
    <row r="3457">
      <c r="A3457" s="2" t="s">
        <v>3783</v>
      </c>
      <c r="B3457" s="2" t="s">
        <v>3783</v>
      </c>
      <c r="C3457" s="2" t="s">
        <v>3958</v>
      </c>
      <c r="D3457" s="3" t="str">
        <f>HYPERLINK("https://12go.asia/en/travel/Bangsal-Pier/Tanjung-Luar", "12Go Link")</f>
        <v>12Go Link</v>
      </c>
      <c r="E3457" s="2" t="s">
        <v>3941</v>
      </c>
    </row>
    <row r="3458">
      <c r="A3458" s="2" t="s">
        <v>3783</v>
      </c>
      <c r="B3458" s="2" t="s">
        <v>3783</v>
      </c>
      <c r="C3458" s="2" t="s">
        <v>3959</v>
      </c>
      <c r="D3458" s="3" t="str">
        <f>HYPERLINK("https://12go.asia/en/travel/Bangsal-Pier/Tete-Batu", "12Go Link")</f>
        <v>12Go Link</v>
      </c>
      <c r="E3458" s="2" t="s">
        <v>3941</v>
      </c>
    </row>
    <row r="3459">
      <c r="A3459" s="2" t="s">
        <v>3783</v>
      </c>
      <c r="B3459" s="2" t="s">
        <v>3783</v>
      </c>
      <c r="C3459" s="2" t="s">
        <v>3960</v>
      </c>
      <c r="D3459" s="3" t="str">
        <f>HYPERLINK("https://12go.asia/en/travel/Bangsal-Pier/Tunak", "12Go Link")</f>
        <v>12Go Link</v>
      </c>
      <c r="E3459" s="2" t="s">
        <v>3941</v>
      </c>
    </row>
    <row r="3460">
      <c r="A3460" s="2" t="s">
        <v>3783</v>
      </c>
      <c r="B3460" s="2" t="s">
        <v>135</v>
      </c>
      <c r="C3460" s="2" t="s">
        <v>3961</v>
      </c>
      <c r="D3460" s="3" t="str">
        <f>HYPERLINK("https://12go.asia/en/travel/Bangsal-DPrabu-Fast-Boat/McDonalds-Sanur", "12Go Link")</f>
        <v>12Go Link</v>
      </c>
      <c r="E3460" s="2" t="s">
        <v>240</v>
      </c>
    </row>
    <row r="3461">
      <c r="A3461" s="2" t="s">
        <v>3783</v>
      </c>
      <c r="B3461" s="2" t="s">
        <v>3888</v>
      </c>
      <c r="C3461" s="2" t="s">
        <v>3962</v>
      </c>
      <c r="D3461" s="3" t="str">
        <f>HYPERLINK("https://12go.asia/en/travel/Bangsal-Pier/Seminyak-Transfer", "12Go Link")</f>
        <v>12Go Link</v>
      </c>
      <c r="E3461" s="2" t="s">
        <v>3757</v>
      </c>
    </row>
    <row r="3462">
      <c r="A3462" s="2" t="s">
        <v>3783</v>
      </c>
      <c r="B3462" s="2" t="s">
        <v>63</v>
      </c>
      <c r="C3462" s="2" t="s">
        <v>3963</v>
      </c>
      <c r="D3462" s="3" t="str">
        <f>HYPERLINK("https://12go.asia/en/travel/Bangsal-Pier/Ubud-Transfer", "12Go Link")</f>
        <v>12Go Link</v>
      </c>
      <c r="E3462" s="2" t="s">
        <v>3757</v>
      </c>
    </row>
    <row r="3463">
      <c r="A3463" s="2" t="s">
        <v>3964</v>
      </c>
      <c r="B3463" s="2" t="s">
        <v>3965</v>
      </c>
      <c r="C3463" s="2" t="s">
        <v>3966</v>
      </c>
      <c r="D3463" s="3" t="str">
        <f>HYPERLINK("https://12go.asia/en/travel/makassar/manokwari", "12Go Link")</f>
        <v>12Go Link</v>
      </c>
      <c r="E3463" s="2" t="s">
        <v>60</v>
      </c>
    </row>
    <row r="3464">
      <c r="A3464" s="2" t="s">
        <v>129</v>
      </c>
      <c r="B3464" s="2" t="s">
        <v>3818</v>
      </c>
      <c r="C3464" s="2" t="s">
        <v>3967</v>
      </c>
      <c r="D3464" s="3" t="str">
        <f>HYPERLINK("https://12go.asia/en/travel/nusa-lembongan/bima", "12Go Link")</f>
        <v>12Go Link</v>
      </c>
      <c r="E3464" s="2" t="s">
        <v>60</v>
      </c>
    </row>
    <row r="3465">
      <c r="A3465" s="2" t="s">
        <v>129</v>
      </c>
      <c r="B3465" s="2" t="s">
        <v>3831</v>
      </c>
      <c r="C3465" s="2" t="s">
        <v>3968</v>
      </c>
      <c r="D3465" s="3" t="str">
        <f>HYPERLINK("https://12go.asia/en/travel/nusa-lembongan/raba", "12Go Link")</f>
        <v>12Go Link</v>
      </c>
      <c r="E3465" s="2" t="s">
        <v>60</v>
      </c>
    </row>
    <row r="3466">
      <c r="A3466" s="2" t="s">
        <v>131</v>
      </c>
      <c r="B3466" s="2" t="s">
        <v>131</v>
      </c>
      <c r="C3466" s="2" t="s">
        <v>3969</v>
      </c>
      <c r="D3466" s="3" t="str">
        <f>HYPERLINK("https://12go.asia/en/travel/Banjar-Nyuh-Pier/Adegan-Transfer", "12Go Link")</f>
        <v>12Go Link</v>
      </c>
      <c r="E3466" s="2" t="s">
        <v>3941</v>
      </c>
    </row>
    <row r="3467">
      <c r="A3467" s="2" t="s">
        <v>131</v>
      </c>
      <c r="B3467" s="2" t="s">
        <v>131</v>
      </c>
      <c r="C3467" s="2" t="s">
        <v>3970</v>
      </c>
      <c r="D3467" s="3" t="str">
        <f>HYPERLINK("https://12go.asia/en/travel/Banjar-Nyuh-Pier/Batumulapan-Beach", "12Go Link")</f>
        <v>12Go Link</v>
      </c>
      <c r="E3467" s="2" t="s">
        <v>3941</v>
      </c>
    </row>
    <row r="3468">
      <c r="A3468" s="2" t="s">
        <v>131</v>
      </c>
      <c r="B3468" s="2" t="s">
        <v>131</v>
      </c>
      <c r="C3468" s="2" t="s">
        <v>3971</v>
      </c>
      <c r="D3468" s="3" t="str">
        <f>HYPERLINK("https://12go.asia/en/travel/Banjar-Nyuh-Pier/Broken-Beach", "12Go Link")</f>
        <v>12Go Link</v>
      </c>
      <c r="E3468" s="2" t="s">
        <v>3941</v>
      </c>
    </row>
    <row r="3469">
      <c r="A3469" s="2" t="s">
        <v>131</v>
      </c>
      <c r="B3469" s="2" t="s">
        <v>131</v>
      </c>
      <c r="C3469" s="2" t="s">
        <v>3972</v>
      </c>
      <c r="D3469" s="3" t="str">
        <f>HYPERLINK("https://12go.asia/en/travel/Banjar-Nyuh-Pier/Crystal-Bay", "12Go Link")</f>
        <v>12Go Link</v>
      </c>
      <c r="E3469" s="2" t="s">
        <v>3941</v>
      </c>
    </row>
    <row r="3470">
      <c r="A3470" s="2" t="s">
        <v>131</v>
      </c>
      <c r="B3470" s="2" t="s">
        <v>131</v>
      </c>
      <c r="C3470" s="2" t="s">
        <v>3973</v>
      </c>
      <c r="D3470" s="3" t="str">
        <f>HYPERLINK("https://12go.asia/en/travel/Banjar-Nyuh-Pier/Diamond-Beach", "12Go Link")</f>
        <v>12Go Link</v>
      </c>
      <c r="E3470" s="2" t="s">
        <v>3941</v>
      </c>
    </row>
    <row r="3471">
      <c r="A3471" s="2" t="s">
        <v>131</v>
      </c>
      <c r="B3471" s="2" t="s">
        <v>131</v>
      </c>
      <c r="C3471" s="2" t="s">
        <v>3974</v>
      </c>
      <c r="D3471" s="3" t="str">
        <f>HYPERLINK("https://12go.asia/en/travel/Banjar-Nyuh-Pier/Kelingking-Beach", "12Go Link")</f>
        <v>12Go Link</v>
      </c>
      <c r="E3471" s="2" t="s">
        <v>3941</v>
      </c>
    </row>
    <row r="3472">
      <c r="A3472" s="2" t="s">
        <v>131</v>
      </c>
      <c r="B3472" s="2" t="s">
        <v>131</v>
      </c>
      <c r="C3472" s="2" t="s">
        <v>3975</v>
      </c>
      <c r="D3472" s="3" t="str">
        <f>HYPERLINK("https://12go.asia/en/travel/Banjar-Nyuh-Pier/Klumpu-Transfer", "12Go Link")</f>
        <v>12Go Link</v>
      </c>
      <c r="E3472" s="2" t="s">
        <v>3941</v>
      </c>
    </row>
    <row r="3473">
      <c r="A3473" s="2" t="s">
        <v>131</v>
      </c>
      <c r="B3473" s="2" t="s">
        <v>131</v>
      </c>
      <c r="C3473" s="2" t="s">
        <v>3976</v>
      </c>
      <c r="D3473" s="3" t="str">
        <f>HYPERLINK("https://12go.asia/en/travel/Banjar-Nyuh-Pier/Ped", "12Go Link")</f>
        <v>12Go Link</v>
      </c>
      <c r="E3473" s="2" t="s">
        <v>3941</v>
      </c>
    </row>
    <row r="3474">
      <c r="A3474" s="2" t="s">
        <v>131</v>
      </c>
      <c r="B3474" s="2" t="s">
        <v>131</v>
      </c>
      <c r="C3474" s="2" t="s">
        <v>3977</v>
      </c>
      <c r="D3474" s="3" t="str">
        <f>HYPERLINK("https://12go.asia/en/travel/Banjar-Nyuh-Pier/Sakti", "12Go Link")</f>
        <v>12Go Link</v>
      </c>
      <c r="E3474" s="2" t="s">
        <v>3941</v>
      </c>
    </row>
    <row r="3475">
      <c r="A3475" s="2" t="s">
        <v>131</v>
      </c>
      <c r="B3475" s="2" t="s">
        <v>131</v>
      </c>
      <c r="C3475" s="2" t="s">
        <v>3978</v>
      </c>
      <c r="D3475" s="3" t="str">
        <f>HYPERLINK("https://12go.asia/en/travel/Banjar-Nyuh-Pier/Sampalan-Beach", "12Go Link")</f>
        <v>12Go Link</v>
      </c>
      <c r="E3475" s="2" t="s">
        <v>3941</v>
      </c>
    </row>
    <row r="3476">
      <c r="A3476" s="2" t="s">
        <v>131</v>
      </c>
      <c r="B3476" s="2" t="s">
        <v>131</v>
      </c>
      <c r="C3476" s="2" t="s">
        <v>3979</v>
      </c>
      <c r="D3476" s="3" t="str">
        <f>HYPERLINK("https://12go.asia/en/travel/Banjar-Nyuh-Pier/Sebunibus", "12Go Link")</f>
        <v>12Go Link</v>
      </c>
      <c r="E3476" s="2" t="s">
        <v>3941</v>
      </c>
    </row>
    <row r="3477">
      <c r="A3477" s="2" t="s">
        <v>131</v>
      </c>
      <c r="B3477" s="2" t="s">
        <v>131</v>
      </c>
      <c r="C3477" s="2" t="s">
        <v>3980</v>
      </c>
      <c r="D3477" s="3" t="str">
        <f>HYPERLINK("https://12go.asia/en/travel/Banjar-Nyuh-Pier/Suana-Transfer", "12Go Link")</f>
        <v>12Go Link</v>
      </c>
      <c r="E3477" s="2" t="s">
        <v>3941</v>
      </c>
    </row>
    <row r="3478">
      <c r="A3478" s="2" t="s">
        <v>131</v>
      </c>
      <c r="B3478" s="2" t="s">
        <v>131</v>
      </c>
      <c r="C3478" s="2" t="s">
        <v>3981</v>
      </c>
      <c r="D3478" s="3" t="str">
        <f>HYPERLINK("https://12go.asia/en/travel/Banjar-Nyuh-Pier/Tanglad", "12Go Link")</f>
        <v>12Go Link</v>
      </c>
      <c r="E3478" s="2" t="s">
        <v>3941</v>
      </c>
    </row>
    <row r="3479">
      <c r="A3479" s="2" t="s">
        <v>131</v>
      </c>
      <c r="B3479" s="2" t="s">
        <v>131</v>
      </c>
      <c r="C3479" s="2" t="s">
        <v>3982</v>
      </c>
      <c r="D3479" s="3" t="str">
        <f>HYPERLINK("https://12go.asia/en/travel/Banjar-Nyuh-Pier/Tembeling-Beach", "12Go Link")</f>
        <v>12Go Link</v>
      </c>
      <c r="E3479" s="2" t="s">
        <v>3941</v>
      </c>
    </row>
    <row r="3480">
      <c r="A3480" s="2" t="s">
        <v>131</v>
      </c>
      <c r="B3480" s="2" t="s">
        <v>131</v>
      </c>
      <c r="C3480" s="2" t="s">
        <v>3983</v>
      </c>
      <c r="D3480" s="3" t="str">
        <f>HYPERLINK("https://12go.asia/en/travel/Banjar-Nyuh-Pier/Toya-Pakeh", "12Go Link")</f>
        <v>12Go Link</v>
      </c>
      <c r="E3480" s="2" t="s">
        <v>3941</v>
      </c>
    </row>
    <row r="3481">
      <c r="A3481" s="2" t="s">
        <v>133</v>
      </c>
      <c r="B3481" s="2" t="s">
        <v>3852</v>
      </c>
      <c r="C3481" s="2" t="s">
        <v>3984</v>
      </c>
      <c r="D3481" s="3" t="str">
        <f>HYPERLINK("https://12go.asia/en/travel/Padang-Bai-Wijaya-Perkasa/Gili-Air", "12Go Link")</f>
        <v>12Go Link</v>
      </c>
      <c r="E3481" s="2" t="s">
        <v>3985</v>
      </c>
    </row>
    <row r="3482">
      <c r="A3482" s="2" t="s">
        <v>133</v>
      </c>
      <c r="B3482" s="2" t="s">
        <v>3755</v>
      </c>
      <c r="C3482" s="2" t="s">
        <v>3986</v>
      </c>
      <c r="D3482" s="3" t="str">
        <f>HYPERLINK("https://12go.asia/en/travel/Padang-Bai-Wijaya-Perkasa/Gili-Meno", "12Go Link")</f>
        <v>12Go Link</v>
      </c>
      <c r="E3482" s="2" t="s">
        <v>3985</v>
      </c>
    </row>
    <row r="3483">
      <c r="A3483" s="2" t="s">
        <v>133</v>
      </c>
      <c r="B3483" s="2" t="s">
        <v>3822</v>
      </c>
      <c r="C3483" s="2" t="s">
        <v>3987</v>
      </c>
      <c r="D3483" s="3" t="str">
        <f>HYPERLINK("https://12go.asia/en/travel/Padang-Bai-Wijaya-Perkasa/Gili-Trawangan-Wijaya-Buyuk", "12Go Link")</f>
        <v>12Go Link</v>
      </c>
      <c r="E3483" s="2" t="s">
        <v>3985</v>
      </c>
    </row>
    <row r="3484">
      <c r="A3484" s="2" t="s">
        <v>133</v>
      </c>
      <c r="B3484" s="2" t="s">
        <v>3783</v>
      </c>
      <c r="C3484" s="2" t="s">
        <v>3988</v>
      </c>
      <c r="D3484" s="3" t="str">
        <f>HYPERLINK("https://12go.asia/en/travel/Padang-Bai-Wijaya-Perkasa/Bangsal-Indah", "12Go Link")</f>
        <v>12Go Link</v>
      </c>
      <c r="E3484" s="2" t="s">
        <v>3985</v>
      </c>
    </row>
    <row r="3485">
      <c r="A3485" s="2" t="s">
        <v>3989</v>
      </c>
      <c r="B3485" s="2" t="s">
        <v>3847</v>
      </c>
      <c r="C3485" s="2" t="s">
        <v>3990</v>
      </c>
      <c r="D3485" s="3" t="str">
        <f>HYPERLINK("https://12go.asia/en/travel/palangkaraya/depok", "12Go Link")</f>
        <v>12Go Link</v>
      </c>
      <c r="E3485" s="2" t="s">
        <v>60</v>
      </c>
    </row>
    <row r="3486">
      <c r="A3486" s="2" t="s">
        <v>3991</v>
      </c>
      <c r="B3486" s="2" t="s">
        <v>3992</v>
      </c>
      <c r="C3486" s="2" t="s">
        <v>3993</v>
      </c>
      <c r="D3486" s="3" t="str">
        <f>HYPERLINK("https://12go.asia/en/travel/pasar-baru/palembang", "12Go Link")</f>
        <v>12Go Link</v>
      </c>
      <c r="E3486" s="2" t="s">
        <v>60</v>
      </c>
    </row>
    <row r="3487">
      <c r="A3487" s="2" t="s">
        <v>135</v>
      </c>
      <c r="B3487" s="2" t="s">
        <v>3737</v>
      </c>
      <c r="C3487" s="2" t="s">
        <v>3994</v>
      </c>
      <c r="D3487" s="3" t="str">
        <f>HYPERLINK("https://12go.asia/en/travel/Sanur-Transfer/Amed-Transfer", "12Go Link")</f>
        <v>12Go Link</v>
      </c>
      <c r="E3487" s="2" t="s">
        <v>215</v>
      </c>
    </row>
    <row r="3488">
      <c r="A3488" s="2" t="s">
        <v>135</v>
      </c>
      <c r="B3488" s="2" t="s">
        <v>3755</v>
      </c>
      <c r="C3488" s="2" t="s">
        <v>3995</v>
      </c>
      <c r="D3488" s="3" t="str">
        <f>HYPERLINK("https://12go.asia/en/travel/McDonalds-Sanur/Gili-Air", "12Go Link")</f>
        <v>12Go Link</v>
      </c>
      <c r="E3488" s="2" t="s">
        <v>234</v>
      </c>
    </row>
    <row r="3489">
      <c r="A3489" s="2" t="s">
        <v>135</v>
      </c>
      <c r="B3489" s="2" t="s">
        <v>3755</v>
      </c>
      <c r="C3489" s="2" t="s">
        <v>3996</v>
      </c>
      <c r="D3489" s="3" t="str">
        <f>HYPERLINK("https://12go.asia/en/travel/McDonalds-Sanur/Gili-Meno", "12Go Link")</f>
        <v>12Go Link</v>
      </c>
      <c r="E3489" s="2" t="s">
        <v>234</v>
      </c>
    </row>
    <row r="3490">
      <c r="A3490" s="2" t="s">
        <v>135</v>
      </c>
      <c r="B3490" s="2" t="s">
        <v>3755</v>
      </c>
      <c r="C3490" s="2" t="s">
        <v>3997</v>
      </c>
      <c r="D3490" s="3" t="str">
        <f>HYPERLINK("https://12go.asia/en/travel/Sanur-Transfer/Gili-Air", "12Go Link")</f>
        <v>12Go Link</v>
      </c>
      <c r="E3490" s="2" t="s">
        <v>240</v>
      </c>
    </row>
    <row r="3491">
      <c r="A3491" s="2" t="s">
        <v>135</v>
      </c>
      <c r="B3491" s="2" t="s">
        <v>3755</v>
      </c>
      <c r="C3491" s="2" t="s">
        <v>3998</v>
      </c>
      <c r="D3491" s="3" t="str">
        <f>HYPERLINK("https://12go.asia/en/travel/Sanur-Transfer/Gili-Trawangan-Port", "12Go Link")</f>
        <v>12Go Link</v>
      </c>
      <c r="E3491" s="2" t="s">
        <v>240</v>
      </c>
    </row>
    <row r="3492">
      <c r="A3492" s="2" t="s">
        <v>135</v>
      </c>
      <c r="B3492" s="2" t="s">
        <v>3822</v>
      </c>
      <c r="C3492" s="2" t="s">
        <v>3999</v>
      </c>
      <c r="D3492" s="3" t="str">
        <f>HYPERLINK("https://12go.asia/en/travel/McDonalds-Sanur/Gili-Trawangan-Beach", "12Go Link")</f>
        <v>12Go Link</v>
      </c>
      <c r="E3492" s="2" t="s">
        <v>234</v>
      </c>
    </row>
    <row r="3493">
      <c r="A3493" s="2" t="s">
        <v>135</v>
      </c>
      <c r="B3493" s="2" t="s">
        <v>3781</v>
      </c>
      <c r="C3493" s="2" t="s">
        <v>4000</v>
      </c>
      <c r="D3493" s="3" t="str">
        <f>HYPERLINK("https://12go.asia/en/travel/Sanur-Transfer/Kintamani-Transfer", "12Go Link")</f>
        <v>12Go Link</v>
      </c>
      <c r="E3493" s="2" t="s">
        <v>3739</v>
      </c>
    </row>
    <row r="3494">
      <c r="A3494" s="2" t="s">
        <v>135</v>
      </c>
      <c r="B3494" s="2" t="s">
        <v>3783</v>
      </c>
      <c r="C3494" s="2" t="s">
        <v>4001</v>
      </c>
      <c r="D3494" s="3" t="str">
        <f>HYPERLINK("https://12go.asia/en/travel/McDonalds-Sanur/Bangsal-Indah", "12Go Link")</f>
        <v>12Go Link</v>
      </c>
      <c r="E3494" s="2" t="s">
        <v>234</v>
      </c>
    </row>
    <row r="3495">
      <c r="A3495" s="2" t="s">
        <v>135</v>
      </c>
      <c r="B3495" s="2" t="s">
        <v>3783</v>
      </c>
      <c r="C3495" s="2" t="s">
        <v>4002</v>
      </c>
      <c r="D3495" s="3" t="str">
        <f>HYPERLINK("https://12go.asia/en/travel/Sanur-Transfer/Bangsal-Pier", "12Go Link")</f>
        <v>12Go Link</v>
      </c>
      <c r="E3495" s="2" t="s">
        <v>240</v>
      </c>
    </row>
    <row r="3496">
      <c r="A3496" s="2" t="s">
        <v>135</v>
      </c>
      <c r="B3496" s="2" t="s">
        <v>131</v>
      </c>
      <c r="C3496" s="2" t="s">
        <v>4003</v>
      </c>
      <c r="D3496" s="3" t="str">
        <f>HYPERLINK("https://12go.asia/en/travel/Sanur-Transfer/Banjar-Nyuh-Harbour", "12Go Link")</f>
        <v>12Go Link</v>
      </c>
      <c r="E3496" s="2" t="s">
        <v>240</v>
      </c>
    </row>
    <row r="3497">
      <c r="A3497" s="2" t="s">
        <v>3888</v>
      </c>
      <c r="B3497" s="2" t="s">
        <v>3755</v>
      </c>
      <c r="C3497" s="2" t="s">
        <v>4004</v>
      </c>
      <c r="D3497" s="3" t="str">
        <f>HYPERLINK("https://12go.asia/en/travel/Bintang-Supermarket/Gili-Air", "12Go Link")</f>
        <v>12Go Link</v>
      </c>
      <c r="E3497" s="2" t="s">
        <v>234</v>
      </c>
    </row>
    <row r="3498">
      <c r="A3498" s="2" t="s">
        <v>3888</v>
      </c>
      <c r="B3498" s="2" t="s">
        <v>3755</v>
      </c>
      <c r="C3498" s="2" t="s">
        <v>4005</v>
      </c>
      <c r="D3498" s="3" t="str">
        <f>HYPERLINK("https://12go.asia/en/travel/Bintang-Supermarket/Gili-Meno", "12Go Link")</f>
        <v>12Go Link</v>
      </c>
      <c r="E3498" s="2" t="s">
        <v>234</v>
      </c>
    </row>
    <row r="3499">
      <c r="A3499" s="2" t="s">
        <v>3888</v>
      </c>
      <c r="B3499" s="2" t="s">
        <v>3755</v>
      </c>
      <c r="C3499" s="2" t="s">
        <v>4006</v>
      </c>
      <c r="D3499" s="3" t="str">
        <f t="shared" ref="D3499:D3500" si="306">HYPERLINK("https://12go.asia/en/travel/Seminyak-Transfer/Gili-Air", "12Go Link")</f>
        <v>12Go Link</v>
      </c>
      <c r="E3499" s="2" t="s">
        <v>3757</v>
      </c>
    </row>
    <row r="3500">
      <c r="A3500" s="2" t="s">
        <v>3888</v>
      </c>
      <c r="B3500" s="2" t="s">
        <v>3755</v>
      </c>
      <c r="C3500" s="2" t="s">
        <v>4006</v>
      </c>
      <c r="D3500" s="3" t="str">
        <f t="shared" si="306"/>
        <v>12Go Link</v>
      </c>
      <c r="E3500" s="2" t="s">
        <v>240</v>
      </c>
    </row>
    <row r="3501">
      <c r="A3501" s="2" t="s">
        <v>3888</v>
      </c>
      <c r="B3501" s="2" t="s">
        <v>3755</v>
      </c>
      <c r="C3501" s="2" t="s">
        <v>4007</v>
      </c>
      <c r="D3501" s="3" t="str">
        <f t="shared" ref="D3501:D3502" si="307">HYPERLINK("https://12go.asia/en/travel/Seminyak-Transfer/Gili-Trawangan-Port", "12Go Link")</f>
        <v>12Go Link</v>
      </c>
      <c r="E3501" s="2" t="s">
        <v>3757</v>
      </c>
    </row>
    <row r="3502">
      <c r="A3502" s="2" t="s">
        <v>3888</v>
      </c>
      <c r="B3502" s="2" t="s">
        <v>3755</v>
      </c>
      <c r="C3502" s="2" t="s">
        <v>4007</v>
      </c>
      <c r="D3502" s="3" t="str">
        <f t="shared" si="307"/>
        <v>12Go Link</v>
      </c>
      <c r="E3502" s="2" t="s">
        <v>240</v>
      </c>
    </row>
    <row r="3503">
      <c r="A3503" s="2" t="s">
        <v>3888</v>
      </c>
      <c r="B3503" s="2" t="s">
        <v>3822</v>
      </c>
      <c r="C3503" s="2" t="s">
        <v>4008</v>
      </c>
      <c r="D3503" s="3" t="str">
        <f>HYPERLINK("https://12go.asia/en/travel/Bintang-Supermarket/Gili-Trawangan-Beach", "12Go Link")</f>
        <v>12Go Link</v>
      </c>
      <c r="E3503" s="2" t="s">
        <v>234</v>
      </c>
    </row>
    <row r="3504">
      <c r="A3504" s="2" t="s">
        <v>3888</v>
      </c>
      <c r="B3504" s="2" t="s">
        <v>3783</v>
      </c>
      <c r="C3504" s="2" t="s">
        <v>4009</v>
      </c>
      <c r="D3504" s="3" t="str">
        <f>HYPERLINK("https://12go.asia/en/travel/Bintang-Supermarket/Bangsal-Indah", "12Go Link")</f>
        <v>12Go Link</v>
      </c>
      <c r="E3504" s="2" t="s">
        <v>234</v>
      </c>
    </row>
    <row r="3505">
      <c r="A3505" s="2" t="s">
        <v>3888</v>
      </c>
      <c r="B3505" s="2" t="s">
        <v>3783</v>
      </c>
      <c r="C3505" s="2" t="s">
        <v>4010</v>
      </c>
      <c r="D3505" s="3" t="str">
        <f t="shared" ref="D3505:D3506" si="308">HYPERLINK("https://12go.asia/en/travel/Seminyak-Transfer/Bangsal-Pier", "12Go Link")</f>
        <v>12Go Link</v>
      </c>
      <c r="E3505" s="2" t="s">
        <v>3757</v>
      </c>
    </row>
    <row r="3506">
      <c r="A3506" s="2" t="s">
        <v>3888</v>
      </c>
      <c r="B3506" s="2" t="s">
        <v>3783</v>
      </c>
      <c r="C3506" s="2" t="s">
        <v>4010</v>
      </c>
      <c r="D3506" s="3" t="str">
        <f t="shared" si="308"/>
        <v>12Go Link</v>
      </c>
      <c r="E3506" s="2" t="s">
        <v>240</v>
      </c>
    </row>
    <row r="3507">
      <c r="A3507" s="2" t="s">
        <v>3888</v>
      </c>
      <c r="B3507" s="2" t="s">
        <v>131</v>
      </c>
      <c r="C3507" s="2" t="s">
        <v>4011</v>
      </c>
      <c r="D3507" s="3" t="str">
        <f>HYPERLINK("https://12go.asia/en/travel/Seminyak-Transfer/Banjar-Nyuh-Harbour", "12Go Link")</f>
        <v>12Go Link</v>
      </c>
      <c r="E3507" s="2" t="s">
        <v>240</v>
      </c>
    </row>
    <row r="3508">
      <c r="A3508" s="2" t="s">
        <v>4012</v>
      </c>
      <c r="B3508" s="2" t="s">
        <v>3806</v>
      </c>
      <c r="C3508" s="2" t="s">
        <v>4013</v>
      </c>
      <c r="D3508" s="3" t="str">
        <f>HYPERLINK("https://12go.asia/en/travel/surakarta/canggu", "12Go Link")</f>
        <v>12Go Link</v>
      </c>
      <c r="E3508" s="2" t="s">
        <v>60</v>
      </c>
    </row>
    <row r="3509">
      <c r="A3509" s="2" t="s">
        <v>4012</v>
      </c>
      <c r="B3509" s="2" t="s">
        <v>61</v>
      </c>
      <c r="C3509" s="2" t="s">
        <v>4014</v>
      </c>
      <c r="D3509" s="3" t="str">
        <f>HYPERLINK("https://12go.asia/en/travel/surakarta/jimbaran", "12Go Link")</f>
        <v>12Go Link</v>
      </c>
      <c r="E3509" s="2" t="s">
        <v>60</v>
      </c>
    </row>
    <row r="3510">
      <c r="A3510" s="2" t="s">
        <v>4012</v>
      </c>
      <c r="B3510" s="2" t="s">
        <v>3781</v>
      </c>
      <c r="C3510" s="2" t="s">
        <v>4015</v>
      </c>
      <c r="D3510" s="3" t="str">
        <f>HYPERLINK("https://12go.asia/en/travel/surakarta/kintamani", "12Go Link")</f>
        <v>12Go Link</v>
      </c>
      <c r="E3510" s="2" t="s">
        <v>60</v>
      </c>
    </row>
    <row r="3511">
      <c r="A3511" s="2" t="s">
        <v>4012</v>
      </c>
      <c r="B3511" s="2" t="s">
        <v>127</v>
      </c>
      <c r="C3511" s="2" t="s">
        <v>4016</v>
      </c>
      <c r="D3511" s="3" t="str">
        <f>HYPERLINK("https://12go.asia/en/travel/surakarta/nusa-ceningan", "12Go Link")</f>
        <v>12Go Link</v>
      </c>
      <c r="E3511" s="2" t="s">
        <v>60</v>
      </c>
    </row>
    <row r="3512">
      <c r="A3512" s="2" t="s">
        <v>4012</v>
      </c>
      <c r="B3512" s="2" t="s">
        <v>63</v>
      </c>
      <c r="C3512" s="2" t="s">
        <v>4017</v>
      </c>
      <c r="D3512" s="3" t="str">
        <f>HYPERLINK("https://12go.asia/en/travel/surakarta/ubud", "12Go Link")</f>
        <v>12Go Link</v>
      </c>
      <c r="E3512" s="2" t="s">
        <v>60</v>
      </c>
    </row>
    <row r="3513">
      <c r="A3513" s="2" t="s">
        <v>4018</v>
      </c>
      <c r="B3513" s="2" t="s">
        <v>3848</v>
      </c>
      <c r="C3513" s="2" t="s">
        <v>4019</v>
      </c>
      <c r="D3513" s="3" t="str">
        <f>HYPERLINK("https://12go.asia/en/travel/tangerang-selatan/bungurasih", "12Go Link")</f>
        <v>12Go Link</v>
      </c>
      <c r="E3513" s="2" t="s">
        <v>60</v>
      </c>
    </row>
    <row r="3514">
      <c r="A3514" s="2" t="s">
        <v>4020</v>
      </c>
      <c r="B3514" s="2" t="s">
        <v>4021</v>
      </c>
      <c r="C3514" s="2" t="s">
        <v>4022</v>
      </c>
      <c r="D3514" s="3" t="str">
        <f>HYPERLINK("https://12go.asia/en/travel/tanjung-priok/ambon", "12Go Link")</f>
        <v>12Go Link</v>
      </c>
      <c r="E3514" s="2" t="s">
        <v>60</v>
      </c>
    </row>
    <row r="3515">
      <c r="A3515" s="2" t="s">
        <v>63</v>
      </c>
      <c r="B3515" s="2" t="s">
        <v>3755</v>
      </c>
      <c r="C3515" s="2" t="s">
        <v>4023</v>
      </c>
      <c r="D3515" s="3" t="str">
        <f>HYPERLINK("https://12go.asia/en/travel/Central-Ubud-Transfer/Gili-Air", "12Go Link")</f>
        <v>12Go Link</v>
      </c>
      <c r="E3515" s="2" t="s">
        <v>240</v>
      </c>
    </row>
    <row r="3516">
      <c r="A3516" s="2" t="s">
        <v>63</v>
      </c>
      <c r="B3516" s="2" t="s">
        <v>3755</v>
      </c>
      <c r="C3516" s="2" t="s">
        <v>4024</v>
      </c>
      <c r="D3516" s="3" t="str">
        <f>HYPERLINK("https://12go.asia/en/travel/Central-Ubud-Transfer/Gili-Trawangan-Port", "12Go Link")</f>
        <v>12Go Link</v>
      </c>
      <c r="E3516" s="2" t="s">
        <v>240</v>
      </c>
    </row>
    <row r="3517">
      <c r="A3517" s="2" t="s">
        <v>63</v>
      </c>
      <c r="B3517" s="2" t="s">
        <v>3755</v>
      </c>
      <c r="C3517" s="2" t="s">
        <v>4025</v>
      </c>
      <c r="D3517" s="3" t="str">
        <f>HYPERLINK("https://12go.asia/en/travel/Coco-Supermarket-Ubud/Gili-Air", "12Go Link")</f>
        <v>12Go Link</v>
      </c>
      <c r="E3517" s="2" t="s">
        <v>234</v>
      </c>
    </row>
    <row r="3518">
      <c r="A3518" s="2" t="s">
        <v>63</v>
      </c>
      <c r="B3518" s="2" t="s">
        <v>3755</v>
      </c>
      <c r="C3518" s="2" t="s">
        <v>4026</v>
      </c>
      <c r="D3518" s="3" t="str">
        <f>HYPERLINK("https://12go.asia/en/travel/Coco-Supermarket-Ubud/Gili-Meno", "12Go Link")</f>
        <v>12Go Link</v>
      </c>
      <c r="E3518" s="2" t="s">
        <v>234</v>
      </c>
    </row>
    <row r="3519">
      <c r="A3519" s="2" t="s">
        <v>63</v>
      </c>
      <c r="B3519" s="2" t="s">
        <v>3755</v>
      </c>
      <c r="C3519" s="2" t="s">
        <v>4027</v>
      </c>
      <c r="D3519" s="3" t="str">
        <f>HYPERLINK("https://12go.asia/en/travel/Ubud-Transfer/Gili-Air", "12Go Link")</f>
        <v>12Go Link</v>
      </c>
      <c r="E3519" s="2" t="s">
        <v>3757</v>
      </c>
    </row>
    <row r="3520">
      <c r="A3520" s="2" t="s">
        <v>63</v>
      </c>
      <c r="B3520" s="2" t="s">
        <v>3755</v>
      </c>
      <c r="C3520" s="2" t="s">
        <v>4028</v>
      </c>
      <c r="D3520" s="3" t="str">
        <f>HYPERLINK("https://12go.asia/en/travel/Ubud-Transfer/Gili-Trawangan-Port", "12Go Link")</f>
        <v>12Go Link</v>
      </c>
      <c r="E3520" s="2" t="s">
        <v>3757</v>
      </c>
    </row>
    <row r="3521">
      <c r="A3521" s="2" t="s">
        <v>63</v>
      </c>
      <c r="B3521" s="2" t="s">
        <v>3822</v>
      </c>
      <c r="C3521" s="2" t="s">
        <v>4029</v>
      </c>
      <c r="D3521" s="3" t="str">
        <f>HYPERLINK("https://12go.asia/en/travel/Coco-Supermarket-Ubud/Gili-Trawangan-Beach", "12Go Link")</f>
        <v>12Go Link</v>
      </c>
      <c r="E3521" s="2" t="s">
        <v>234</v>
      </c>
    </row>
    <row r="3522">
      <c r="A3522" s="2" t="s">
        <v>63</v>
      </c>
      <c r="B3522" s="2" t="s">
        <v>3783</v>
      </c>
      <c r="C3522" s="2" t="s">
        <v>4030</v>
      </c>
      <c r="D3522" s="3" t="str">
        <f>HYPERLINK("https://12go.asia/en/travel/Central-Ubud-Transfer/Bangsal-Pier", "12Go Link")</f>
        <v>12Go Link</v>
      </c>
      <c r="E3522" s="2" t="s">
        <v>240</v>
      </c>
    </row>
    <row r="3523">
      <c r="A3523" s="2" t="s">
        <v>63</v>
      </c>
      <c r="B3523" s="2" t="s">
        <v>3783</v>
      </c>
      <c r="C3523" s="2" t="s">
        <v>4031</v>
      </c>
      <c r="D3523" s="3" t="str">
        <f>HYPERLINK("https://12go.asia/en/travel/Coco-Supermarket-Ubud/Bangsal-Indah", "12Go Link")</f>
        <v>12Go Link</v>
      </c>
      <c r="E3523" s="2" t="s">
        <v>234</v>
      </c>
    </row>
    <row r="3524">
      <c r="A3524" s="2" t="s">
        <v>63</v>
      </c>
      <c r="B3524" s="2" t="s">
        <v>3783</v>
      </c>
      <c r="C3524" s="2" t="s">
        <v>4032</v>
      </c>
      <c r="D3524" s="3" t="str">
        <f>HYPERLINK("https://12go.asia/en/travel/Ubud-Transfer/Bangsal-Pier", "12Go Link")</f>
        <v>12Go Link</v>
      </c>
      <c r="E3524" s="2" t="s">
        <v>3757</v>
      </c>
    </row>
    <row r="3525">
      <c r="A3525" s="2" t="s">
        <v>63</v>
      </c>
      <c r="B3525" s="2" t="s">
        <v>131</v>
      </c>
      <c r="C3525" s="2" t="s">
        <v>4033</v>
      </c>
      <c r="D3525" s="3" t="str">
        <f>HYPERLINK("https://12go.asia/en/travel/Central-Ubud-Transfer/Banjar-Nyuh-Harbour", "12Go Link")</f>
        <v>12Go Link</v>
      </c>
      <c r="E3525" s="2" t="s">
        <v>240</v>
      </c>
    </row>
    <row r="3526">
      <c r="A3526" s="2" t="s">
        <v>4034</v>
      </c>
      <c r="B3526" s="2" t="s">
        <v>4035</v>
      </c>
      <c r="C3526" s="2" t="s">
        <v>4036</v>
      </c>
      <c r="D3526" s="3" t="str">
        <f>HYPERLINK("https://12go.asia/en/travel/Fukui/Kanazawa", "12Go Link")</f>
        <v>12Go Link</v>
      </c>
      <c r="E3526" s="2" t="s">
        <v>4037</v>
      </c>
    </row>
    <row r="3527">
      <c r="A3527" s="2" t="s">
        <v>4034</v>
      </c>
      <c r="B3527" s="2" t="s">
        <v>4038</v>
      </c>
      <c r="C3527" s="2" t="s">
        <v>4039</v>
      </c>
      <c r="D3527" s="3" t="str">
        <f t="shared" ref="D3527:D3528" si="309">HYPERLINK("https://12go.asia/en/travel/Fukui/Nagano-station", "12Go Link")</f>
        <v>12Go Link</v>
      </c>
      <c r="E3527" s="2" t="s">
        <v>4040</v>
      </c>
    </row>
    <row r="3528">
      <c r="A3528" s="2" t="s">
        <v>4034</v>
      </c>
      <c r="B3528" s="2" t="s">
        <v>4038</v>
      </c>
      <c r="C3528" s="2" t="s">
        <v>4039</v>
      </c>
      <c r="D3528" s="3" t="str">
        <f t="shared" si="309"/>
        <v>12Go Link</v>
      </c>
      <c r="E3528" s="2" t="s">
        <v>4037</v>
      </c>
    </row>
    <row r="3529">
      <c r="A3529" s="2" t="s">
        <v>4034</v>
      </c>
      <c r="B3529" s="2" t="s">
        <v>4041</v>
      </c>
      <c r="C3529" s="2" t="s">
        <v>4042</v>
      </c>
      <c r="D3529" s="3" t="str">
        <f t="shared" ref="D3529:D3530" si="310">HYPERLINK("https://12go.asia/en/travel/Fukui/Omiya-Station", "12Go Link")</f>
        <v>12Go Link</v>
      </c>
      <c r="E3529" s="2" t="s">
        <v>4040</v>
      </c>
    </row>
    <row r="3530">
      <c r="A3530" s="2" t="s">
        <v>4034</v>
      </c>
      <c r="B3530" s="2" t="s">
        <v>4041</v>
      </c>
      <c r="C3530" s="2" t="s">
        <v>4042</v>
      </c>
      <c r="D3530" s="3" t="str">
        <f t="shared" si="310"/>
        <v>12Go Link</v>
      </c>
      <c r="E3530" s="2" t="s">
        <v>4037</v>
      </c>
    </row>
    <row r="3531">
      <c r="A3531" s="2" t="s">
        <v>4034</v>
      </c>
      <c r="B3531" s="2" t="s">
        <v>4043</v>
      </c>
      <c r="C3531" s="2" t="s">
        <v>4044</v>
      </c>
      <c r="D3531" s="3" t="str">
        <f t="shared" ref="D3531:D3532" si="311">HYPERLINK("https://12go.asia/en/travel/Fukui/Tokyo", "12Go Link")</f>
        <v>12Go Link</v>
      </c>
      <c r="E3531" s="2" t="s">
        <v>4040</v>
      </c>
    </row>
    <row r="3532">
      <c r="A3532" s="2" t="s">
        <v>4034</v>
      </c>
      <c r="B3532" s="2" t="s">
        <v>4043</v>
      </c>
      <c r="C3532" s="2" t="s">
        <v>4044</v>
      </c>
      <c r="D3532" s="3" t="str">
        <f t="shared" si="311"/>
        <v>12Go Link</v>
      </c>
      <c r="E3532" s="2" t="s">
        <v>4037</v>
      </c>
    </row>
    <row r="3533">
      <c r="A3533" s="2" t="s">
        <v>4034</v>
      </c>
      <c r="B3533" s="2" t="s">
        <v>4045</v>
      </c>
      <c r="C3533" s="2" t="s">
        <v>4046</v>
      </c>
      <c r="D3533" s="3" t="str">
        <f>HYPERLINK("https://12go.asia/en/travel/Fukui/Toyama", "12Go Link")</f>
        <v>12Go Link</v>
      </c>
      <c r="E3533" s="2" t="s">
        <v>4037</v>
      </c>
    </row>
    <row r="3534">
      <c r="A3534" s="2" t="s">
        <v>4034</v>
      </c>
      <c r="B3534" s="2" t="s">
        <v>4047</v>
      </c>
      <c r="C3534" s="2" t="s">
        <v>4048</v>
      </c>
      <c r="D3534" s="3" t="str">
        <f t="shared" ref="D3534:D3535" si="312">HYPERLINK("https://12go.asia/en/travel/Fukui/Tsuruga", "12Go Link")</f>
        <v>12Go Link</v>
      </c>
      <c r="E3534" s="2" t="s">
        <v>4040</v>
      </c>
    </row>
    <row r="3535">
      <c r="A3535" s="2" t="s">
        <v>4034</v>
      </c>
      <c r="B3535" s="2" t="s">
        <v>4047</v>
      </c>
      <c r="C3535" s="2" t="s">
        <v>4048</v>
      </c>
      <c r="D3535" s="3" t="str">
        <f t="shared" si="312"/>
        <v>12Go Link</v>
      </c>
      <c r="E3535" s="2" t="s">
        <v>4037</v>
      </c>
    </row>
    <row r="3536">
      <c r="A3536" s="2" t="s">
        <v>4035</v>
      </c>
      <c r="B3536" s="2" t="s">
        <v>4034</v>
      </c>
      <c r="C3536" s="2" t="s">
        <v>4049</v>
      </c>
      <c r="D3536" s="3" t="str">
        <f t="shared" ref="D3536:D3537" si="313">HYPERLINK("https://12go.asia/en/travel/Kanazawa/Fukui", "12Go Link")</f>
        <v>12Go Link</v>
      </c>
      <c r="E3536" s="2" t="s">
        <v>4040</v>
      </c>
    </row>
    <row r="3537">
      <c r="A3537" s="2" t="s">
        <v>4035</v>
      </c>
      <c r="B3537" s="2" t="s">
        <v>4034</v>
      </c>
      <c r="C3537" s="2" t="s">
        <v>4049</v>
      </c>
      <c r="D3537" s="3" t="str">
        <f t="shared" si="313"/>
        <v>12Go Link</v>
      </c>
      <c r="E3537" s="2" t="s">
        <v>4037</v>
      </c>
    </row>
    <row r="3538">
      <c r="A3538" s="2" t="s">
        <v>4035</v>
      </c>
      <c r="B3538" s="2" t="s">
        <v>4038</v>
      </c>
      <c r="C3538" s="2" t="s">
        <v>4050</v>
      </c>
      <c r="D3538" s="3" t="str">
        <f t="shared" ref="D3538:D3539" si="314">HYPERLINK("https://12go.asia/en/travel/Kanazawa/Nagano-station", "12Go Link")</f>
        <v>12Go Link</v>
      </c>
      <c r="E3538" s="2" t="s">
        <v>4040</v>
      </c>
    </row>
    <row r="3539">
      <c r="A3539" s="2" t="s">
        <v>4035</v>
      </c>
      <c r="B3539" s="2" t="s">
        <v>4038</v>
      </c>
      <c r="C3539" s="2" t="s">
        <v>4050</v>
      </c>
      <c r="D3539" s="3" t="str">
        <f t="shared" si="314"/>
        <v>12Go Link</v>
      </c>
      <c r="E3539" s="2" t="s">
        <v>4037</v>
      </c>
    </row>
    <row r="3540">
      <c r="A3540" s="2" t="s">
        <v>4035</v>
      </c>
      <c r="B3540" s="2" t="s">
        <v>4041</v>
      </c>
      <c r="C3540" s="2" t="s">
        <v>4051</v>
      </c>
      <c r="D3540" s="3" t="str">
        <f t="shared" ref="D3540:D3541" si="315">HYPERLINK("https://12go.asia/en/travel/Kanazawa/Omiya-Station", "12Go Link")</f>
        <v>12Go Link</v>
      </c>
      <c r="E3540" s="2" t="s">
        <v>4040</v>
      </c>
    </row>
    <row r="3541">
      <c r="A3541" s="2" t="s">
        <v>4035</v>
      </c>
      <c r="B3541" s="2" t="s">
        <v>4041</v>
      </c>
      <c r="C3541" s="2" t="s">
        <v>4051</v>
      </c>
      <c r="D3541" s="3" t="str">
        <f t="shared" si="315"/>
        <v>12Go Link</v>
      </c>
      <c r="E3541" s="2" t="s">
        <v>4037</v>
      </c>
    </row>
    <row r="3542">
      <c r="A3542" s="2" t="s">
        <v>4035</v>
      </c>
      <c r="B3542" s="2" t="s">
        <v>4043</v>
      </c>
      <c r="C3542" s="2" t="s">
        <v>4052</v>
      </c>
      <c r="D3542" s="3" t="str">
        <f t="shared" ref="D3542:D3543" si="316">HYPERLINK("https://12go.asia/en/travel/Kanazawa/Tokyo", "12Go Link")</f>
        <v>12Go Link</v>
      </c>
      <c r="E3542" s="2" t="s">
        <v>4040</v>
      </c>
    </row>
    <row r="3543">
      <c r="A3543" s="2" t="s">
        <v>4035</v>
      </c>
      <c r="B3543" s="2" t="s">
        <v>4043</v>
      </c>
      <c r="C3543" s="2" t="s">
        <v>4052</v>
      </c>
      <c r="D3543" s="3" t="str">
        <f t="shared" si="316"/>
        <v>12Go Link</v>
      </c>
      <c r="E3543" s="2" t="s">
        <v>4037</v>
      </c>
    </row>
    <row r="3544">
      <c r="A3544" s="2" t="s">
        <v>4035</v>
      </c>
      <c r="B3544" s="2" t="s">
        <v>4045</v>
      </c>
      <c r="C3544" s="2" t="s">
        <v>4053</v>
      </c>
      <c r="D3544" s="3" t="str">
        <f>HYPERLINK("https://12go.asia/en/travel/Kanazawa/Toyama", "12Go Link")</f>
        <v>12Go Link</v>
      </c>
      <c r="E3544" s="2" t="s">
        <v>4037</v>
      </c>
    </row>
    <row r="3545">
      <c r="A3545" s="2" t="s">
        <v>4035</v>
      </c>
      <c r="B3545" s="2" t="s">
        <v>4047</v>
      </c>
      <c r="C3545" s="2" t="s">
        <v>4054</v>
      </c>
      <c r="D3545" s="3" t="str">
        <f t="shared" ref="D3545:D3546" si="317">HYPERLINK("https://12go.asia/en/travel/Kanazawa/Tsuruga", "12Go Link")</f>
        <v>12Go Link</v>
      </c>
      <c r="E3545" s="2" t="s">
        <v>4040</v>
      </c>
    </row>
    <row r="3546">
      <c r="A3546" s="2" t="s">
        <v>4035</v>
      </c>
      <c r="B3546" s="2" t="s">
        <v>4047</v>
      </c>
      <c r="C3546" s="2" t="s">
        <v>4054</v>
      </c>
      <c r="D3546" s="3" t="str">
        <f t="shared" si="317"/>
        <v>12Go Link</v>
      </c>
      <c r="E3546" s="2" t="s">
        <v>4037</v>
      </c>
    </row>
    <row r="3547">
      <c r="A3547" s="2" t="s">
        <v>4038</v>
      </c>
      <c r="B3547" s="2" t="s">
        <v>4034</v>
      </c>
      <c r="C3547" s="2" t="s">
        <v>4055</v>
      </c>
      <c r="D3547" s="3" t="str">
        <f t="shared" ref="D3547:D3548" si="318">HYPERLINK("https://12go.asia/en/travel/Nagano-station/Fukui", "12Go Link")</f>
        <v>12Go Link</v>
      </c>
      <c r="E3547" s="2" t="s">
        <v>4040</v>
      </c>
    </row>
    <row r="3548">
      <c r="A3548" s="2" t="s">
        <v>4038</v>
      </c>
      <c r="B3548" s="2" t="s">
        <v>4034</v>
      </c>
      <c r="C3548" s="2" t="s">
        <v>4055</v>
      </c>
      <c r="D3548" s="3" t="str">
        <f t="shared" si="318"/>
        <v>12Go Link</v>
      </c>
      <c r="E3548" s="2" t="s">
        <v>4037</v>
      </c>
    </row>
    <row r="3549">
      <c r="A3549" s="2" t="s">
        <v>4038</v>
      </c>
      <c r="B3549" s="2" t="s">
        <v>4035</v>
      </c>
      <c r="C3549" s="2" t="s">
        <v>4056</v>
      </c>
      <c r="D3549" s="3" t="str">
        <f t="shared" ref="D3549:D3550" si="319">HYPERLINK("https://12go.asia/en/travel/Nagano-station/Kanazawa", "12Go Link")</f>
        <v>12Go Link</v>
      </c>
      <c r="E3549" s="2" t="s">
        <v>4040</v>
      </c>
    </row>
    <row r="3550">
      <c r="A3550" s="2" t="s">
        <v>4038</v>
      </c>
      <c r="B3550" s="2" t="s">
        <v>4035</v>
      </c>
      <c r="C3550" s="2" t="s">
        <v>4056</v>
      </c>
      <c r="D3550" s="3" t="str">
        <f t="shared" si="319"/>
        <v>12Go Link</v>
      </c>
      <c r="E3550" s="2" t="s">
        <v>4037</v>
      </c>
    </row>
    <row r="3551">
      <c r="A3551" s="2" t="s">
        <v>4038</v>
      </c>
      <c r="B3551" s="2" t="s">
        <v>4041</v>
      </c>
      <c r="C3551" s="2" t="s">
        <v>4057</v>
      </c>
      <c r="D3551" s="3" t="str">
        <f t="shared" ref="D3551:D3552" si="320">HYPERLINK("https://12go.asia/en/travel/Nagano-station/Omiya-Station", "12Go Link")</f>
        <v>12Go Link</v>
      </c>
      <c r="E3551" s="2" t="s">
        <v>4040</v>
      </c>
    </row>
    <row r="3552">
      <c r="A3552" s="2" t="s">
        <v>4038</v>
      </c>
      <c r="B3552" s="2" t="s">
        <v>4041</v>
      </c>
      <c r="C3552" s="2" t="s">
        <v>4057</v>
      </c>
      <c r="D3552" s="3" t="str">
        <f t="shared" si="320"/>
        <v>12Go Link</v>
      </c>
      <c r="E3552" s="2" t="s">
        <v>4037</v>
      </c>
    </row>
    <row r="3553">
      <c r="A3553" s="2" t="s">
        <v>4038</v>
      </c>
      <c r="B3553" s="2" t="s">
        <v>4043</v>
      </c>
      <c r="C3553" s="2" t="s">
        <v>4058</v>
      </c>
      <c r="D3553" s="3" t="str">
        <f t="shared" ref="D3553:D3554" si="321">HYPERLINK("https://12go.asia/en/travel/Nagano-station/Tokyo", "12Go Link")</f>
        <v>12Go Link</v>
      </c>
      <c r="E3553" s="2" t="s">
        <v>4040</v>
      </c>
    </row>
    <row r="3554">
      <c r="A3554" s="2" t="s">
        <v>4038</v>
      </c>
      <c r="B3554" s="2" t="s">
        <v>4043</v>
      </c>
      <c r="C3554" s="2" t="s">
        <v>4058</v>
      </c>
      <c r="D3554" s="3" t="str">
        <f t="shared" si="321"/>
        <v>12Go Link</v>
      </c>
      <c r="E3554" s="2" t="s">
        <v>4037</v>
      </c>
    </row>
    <row r="3555">
      <c r="A3555" s="2" t="s">
        <v>4038</v>
      </c>
      <c r="B3555" s="2" t="s">
        <v>4045</v>
      </c>
      <c r="C3555" s="2" t="s">
        <v>4059</v>
      </c>
      <c r="D3555" s="3" t="str">
        <f>HYPERLINK("https://12go.asia/en/travel/Nagano-station/Toyama", "12Go Link")</f>
        <v>12Go Link</v>
      </c>
      <c r="E3555" s="2" t="s">
        <v>4037</v>
      </c>
    </row>
    <row r="3556">
      <c r="A3556" s="2" t="s">
        <v>4038</v>
      </c>
      <c r="B3556" s="2" t="s">
        <v>4047</v>
      </c>
      <c r="C3556" s="2" t="s">
        <v>4060</v>
      </c>
      <c r="D3556" s="3" t="str">
        <f t="shared" ref="D3556:D3557" si="322">HYPERLINK("https://12go.asia/en/travel/Nagano-station/Tsuruga", "12Go Link")</f>
        <v>12Go Link</v>
      </c>
      <c r="E3556" s="2" t="s">
        <v>4040</v>
      </c>
    </row>
    <row r="3557">
      <c r="A3557" s="2" t="s">
        <v>4038</v>
      </c>
      <c r="B3557" s="2" t="s">
        <v>4047</v>
      </c>
      <c r="C3557" s="2" t="s">
        <v>4060</v>
      </c>
      <c r="D3557" s="3" t="str">
        <f t="shared" si="322"/>
        <v>12Go Link</v>
      </c>
      <c r="E3557" s="2" t="s">
        <v>4037</v>
      </c>
    </row>
    <row r="3558">
      <c r="A3558" s="2" t="s">
        <v>4041</v>
      </c>
      <c r="B3558" s="2" t="s">
        <v>4034</v>
      </c>
      <c r="C3558" s="2" t="s">
        <v>4061</v>
      </c>
      <c r="D3558" s="3" t="str">
        <f t="shared" ref="D3558:D3559" si="323">HYPERLINK("https://12go.asia/en/travel/Omiya-Station/Fukui", "12Go Link")</f>
        <v>12Go Link</v>
      </c>
      <c r="E3558" s="2" t="s">
        <v>4040</v>
      </c>
    </row>
    <row r="3559">
      <c r="A3559" s="2" t="s">
        <v>4041</v>
      </c>
      <c r="B3559" s="2" t="s">
        <v>4034</v>
      </c>
      <c r="C3559" s="2" t="s">
        <v>4061</v>
      </c>
      <c r="D3559" s="3" t="str">
        <f t="shared" si="323"/>
        <v>12Go Link</v>
      </c>
      <c r="E3559" s="2" t="s">
        <v>4037</v>
      </c>
    </row>
    <row r="3560">
      <c r="A3560" s="2" t="s">
        <v>4041</v>
      </c>
      <c r="B3560" s="2" t="s">
        <v>4035</v>
      </c>
      <c r="C3560" s="2" t="s">
        <v>4062</v>
      </c>
      <c r="D3560" s="3" t="str">
        <f t="shared" ref="D3560:D3561" si="324">HYPERLINK("https://12go.asia/en/travel/Omiya-Station/Kanazawa", "12Go Link")</f>
        <v>12Go Link</v>
      </c>
      <c r="E3560" s="2" t="s">
        <v>4040</v>
      </c>
    </row>
    <row r="3561">
      <c r="A3561" s="2" t="s">
        <v>4041</v>
      </c>
      <c r="B3561" s="2" t="s">
        <v>4035</v>
      </c>
      <c r="C3561" s="2" t="s">
        <v>4062</v>
      </c>
      <c r="D3561" s="3" t="str">
        <f t="shared" si="324"/>
        <v>12Go Link</v>
      </c>
      <c r="E3561" s="2" t="s">
        <v>4037</v>
      </c>
    </row>
    <row r="3562">
      <c r="A3562" s="2" t="s">
        <v>4041</v>
      </c>
      <c r="B3562" s="2" t="s">
        <v>4038</v>
      </c>
      <c r="C3562" s="2" t="s">
        <v>4063</v>
      </c>
      <c r="D3562" s="3" t="str">
        <f t="shared" ref="D3562:D3563" si="325">HYPERLINK("https://12go.asia/en/travel/Omiya-Station/Nagano-station", "12Go Link")</f>
        <v>12Go Link</v>
      </c>
      <c r="E3562" s="2" t="s">
        <v>4040</v>
      </c>
    </row>
    <row r="3563">
      <c r="A3563" s="2" t="s">
        <v>4041</v>
      </c>
      <c r="B3563" s="2" t="s">
        <v>4038</v>
      </c>
      <c r="C3563" s="2" t="s">
        <v>4063</v>
      </c>
      <c r="D3563" s="3" t="str">
        <f t="shared" si="325"/>
        <v>12Go Link</v>
      </c>
      <c r="E3563" s="2" t="s">
        <v>4037</v>
      </c>
    </row>
    <row r="3564">
      <c r="A3564" s="2" t="s">
        <v>4041</v>
      </c>
      <c r="B3564" s="2" t="s">
        <v>4045</v>
      </c>
      <c r="C3564" s="2" t="s">
        <v>4064</v>
      </c>
      <c r="D3564" s="3" t="str">
        <f t="shared" ref="D3564:D3565" si="326">HYPERLINK("https://12go.asia/en/travel/Omiya-Station/Toyama", "12Go Link")</f>
        <v>12Go Link</v>
      </c>
      <c r="E3564" s="2" t="s">
        <v>4040</v>
      </c>
    </row>
    <row r="3565">
      <c r="A3565" s="2" t="s">
        <v>4041</v>
      </c>
      <c r="B3565" s="2" t="s">
        <v>4045</v>
      </c>
      <c r="C3565" s="2" t="s">
        <v>4064</v>
      </c>
      <c r="D3565" s="3" t="str">
        <f t="shared" si="326"/>
        <v>12Go Link</v>
      </c>
      <c r="E3565" s="2" t="s">
        <v>4037</v>
      </c>
    </row>
    <row r="3566">
      <c r="A3566" s="2" t="s">
        <v>4041</v>
      </c>
      <c r="B3566" s="2" t="s">
        <v>4047</v>
      </c>
      <c r="C3566" s="2" t="s">
        <v>4065</v>
      </c>
      <c r="D3566" s="3" t="str">
        <f t="shared" ref="D3566:D3567" si="327">HYPERLINK("https://12go.asia/en/travel/Omiya-Station/Tsuruga", "12Go Link")</f>
        <v>12Go Link</v>
      </c>
      <c r="E3566" s="2" t="s">
        <v>4040</v>
      </c>
    </row>
    <row r="3567">
      <c r="A3567" s="2" t="s">
        <v>4041</v>
      </c>
      <c r="B3567" s="2" t="s">
        <v>4047</v>
      </c>
      <c r="C3567" s="2" t="s">
        <v>4065</v>
      </c>
      <c r="D3567" s="3" t="str">
        <f t="shared" si="327"/>
        <v>12Go Link</v>
      </c>
      <c r="E3567" s="2" t="s">
        <v>4037</v>
      </c>
    </row>
    <row r="3568">
      <c r="A3568" s="2" t="s">
        <v>4043</v>
      </c>
      <c r="B3568" s="2" t="s">
        <v>4034</v>
      </c>
      <c r="C3568" s="2" t="s">
        <v>4066</v>
      </c>
      <c r="D3568" s="3" t="str">
        <f t="shared" ref="D3568:D3569" si="328">HYPERLINK("https://12go.asia/en/travel/Tokyo/Fukui", "12Go Link")</f>
        <v>12Go Link</v>
      </c>
      <c r="E3568" s="2" t="s">
        <v>4040</v>
      </c>
    </row>
    <row r="3569">
      <c r="A3569" s="2" t="s">
        <v>4043</v>
      </c>
      <c r="B3569" s="2" t="s">
        <v>4034</v>
      </c>
      <c r="C3569" s="2" t="s">
        <v>4066</v>
      </c>
      <c r="D3569" s="3" t="str">
        <f t="shared" si="328"/>
        <v>12Go Link</v>
      </c>
      <c r="E3569" s="2" t="s">
        <v>4037</v>
      </c>
    </row>
    <row r="3570">
      <c r="A3570" s="2" t="s">
        <v>4043</v>
      </c>
      <c r="B3570" s="2" t="s">
        <v>4035</v>
      </c>
      <c r="C3570" s="2" t="s">
        <v>4067</v>
      </c>
      <c r="D3570" s="3" t="str">
        <f t="shared" ref="D3570:D3571" si="329">HYPERLINK("https://12go.asia/en/travel/Tokyo/Kanazawa", "12Go Link")</f>
        <v>12Go Link</v>
      </c>
      <c r="E3570" s="2" t="s">
        <v>4040</v>
      </c>
    </row>
    <row r="3571">
      <c r="A3571" s="2" t="s">
        <v>4043</v>
      </c>
      <c r="B3571" s="2" t="s">
        <v>4035</v>
      </c>
      <c r="C3571" s="2" t="s">
        <v>4067</v>
      </c>
      <c r="D3571" s="3" t="str">
        <f t="shared" si="329"/>
        <v>12Go Link</v>
      </c>
      <c r="E3571" s="2" t="s">
        <v>4037</v>
      </c>
    </row>
    <row r="3572">
      <c r="A3572" s="2" t="s">
        <v>4043</v>
      </c>
      <c r="B3572" s="2" t="s">
        <v>4038</v>
      </c>
      <c r="C3572" s="2" t="s">
        <v>4068</v>
      </c>
      <c r="D3572" s="3" t="str">
        <f t="shared" ref="D3572:D3573" si="330">HYPERLINK("https://12go.asia/en/travel/Tokyo/Nagano-station", "12Go Link")</f>
        <v>12Go Link</v>
      </c>
      <c r="E3572" s="2" t="s">
        <v>4040</v>
      </c>
    </row>
    <row r="3573">
      <c r="A3573" s="2" t="s">
        <v>4043</v>
      </c>
      <c r="B3573" s="2" t="s">
        <v>4038</v>
      </c>
      <c r="C3573" s="2" t="s">
        <v>4068</v>
      </c>
      <c r="D3573" s="3" t="str">
        <f t="shared" si="330"/>
        <v>12Go Link</v>
      </c>
      <c r="E3573" s="2" t="s">
        <v>4037</v>
      </c>
    </row>
    <row r="3574">
      <c r="A3574" s="2" t="s">
        <v>4043</v>
      </c>
      <c r="B3574" s="2" t="s">
        <v>4041</v>
      </c>
      <c r="C3574" s="2" t="s">
        <v>4069</v>
      </c>
      <c r="D3574" s="3" t="str">
        <f t="shared" ref="D3574:D3575" si="331">HYPERLINK("https://12go.asia/en/travel/Tokyo/Omiya-Station", "12Go Link")</f>
        <v>12Go Link</v>
      </c>
      <c r="E3574" s="2" t="s">
        <v>4040</v>
      </c>
    </row>
    <row r="3575">
      <c r="A3575" s="2" t="s">
        <v>4043</v>
      </c>
      <c r="B3575" s="2" t="s">
        <v>4041</v>
      </c>
      <c r="C3575" s="2" t="s">
        <v>4069</v>
      </c>
      <c r="D3575" s="3" t="str">
        <f t="shared" si="331"/>
        <v>12Go Link</v>
      </c>
      <c r="E3575" s="2" t="s">
        <v>4037</v>
      </c>
    </row>
    <row r="3576">
      <c r="A3576" s="2" t="s">
        <v>4043</v>
      </c>
      <c r="B3576" s="2" t="s">
        <v>4045</v>
      </c>
      <c r="C3576" s="2" t="s">
        <v>4070</v>
      </c>
      <c r="D3576" s="3" t="str">
        <f t="shared" ref="D3576:D3577" si="332">HYPERLINK("https://12go.asia/en/travel/Tokyo/Toyama", "12Go Link")</f>
        <v>12Go Link</v>
      </c>
      <c r="E3576" s="2" t="s">
        <v>4040</v>
      </c>
    </row>
    <row r="3577">
      <c r="A3577" s="2" t="s">
        <v>4043</v>
      </c>
      <c r="B3577" s="2" t="s">
        <v>4045</v>
      </c>
      <c r="C3577" s="2" t="s">
        <v>4070</v>
      </c>
      <c r="D3577" s="3" t="str">
        <f t="shared" si="332"/>
        <v>12Go Link</v>
      </c>
      <c r="E3577" s="2" t="s">
        <v>4037</v>
      </c>
    </row>
    <row r="3578">
      <c r="A3578" s="2" t="s">
        <v>4043</v>
      </c>
      <c r="B3578" s="2" t="s">
        <v>4047</v>
      </c>
      <c r="C3578" s="2" t="s">
        <v>4071</v>
      </c>
      <c r="D3578" s="3" t="str">
        <f t="shared" ref="D3578:D3579" si="333">HYPERLINK("https://12go.asia/en/travel/Tokyo/Tsuruga", "12Go Link")</f>
        <v>12Go Link</v>
      </c>
      <c r="E3578" s="2" t="s">
        <v>4040</v>
      </c>
    </row>
    <row r="3579">
      <c r="A3579" s="2" t="s">
        <v>4043</v>
      </c>
      <c r="B3579" s="2" t="s">
        <v>4047</v>
      </c>
      <c r="C3579" s="2" t="s">
        <v>4071</v>
      </c>
      <c r="D3579" s="3" t="str">
        <f t="shared" si="333"/>
        <v>12Go Link</v>
      </c>
      <c r="E3579" s="2" t="s">
        <v>4037</v>
      </c>
    </row>
    <row r="3580">
      <c r="A3580" s="2" t="s">
        <v>4045</v>
      </c>
      <c r="B3580" s="2" t="s">
        <v>4034</v>
      </c>
      <c r="C3580" s="2" t="s">
        <v>4072</v>
      </c>
      <c r="D3580" s="3" t="str">
        <f>HYPERLINK("https://12go.asia/en/travel/Toyama/Fukui", "12Go Link")</f>
        <v>12Go Link</v>
      </c>
      <c r="E3580" s="2" t="s">
        <v>4037</v>
      </c>
    </row>
    <row r="3581">
      <c r="A3581" s="2" t="s">
        <v>4045</v>
      </c>
      <c r="B3581" s="2" t="s">
        <v>4035</v>
      </c>
      <c r="C3581" s="2" t="s">
        <v>4073</v>
      </c>
      <c r="D3581" s="3" t="str">
        <f>HYPERLINK("https://12go.asia/en/travel/Toyama/Kanazawa", "12Go Link")</f>
        <v>12Go Link</v>
      </c>
      <c r="E3581" s="2" t="s">
        <v>4037</v>
      </c>
    </row>
    <row r="3582">
      <c r="A3582" s="2" t="s">
        <v>4045</v>
      </c>
      <c r="B3582" s="2" t="s">
        <v>4038</v>
      </c>
      <c r="C3582" s="2" t="s">
        <v>4074</v>
      </c>
      <c r="D3582" s="3" t="str">
        <f>HYPERLINK("https://12go.asia/en/travel/Toyama/Nagano-station", "12Go Link")</f>
        <v>12Go Link</v>
      </c>
      <c r="E3582" s="2" t="s">
        <v>4037</v>
      </c>
    </row>
    <row r="3583">
      <c r="A3583" s="2" t="s">
        <v>4045</v>
      </c>
      <c r="B3583" s="2" t="s">
        <v>4041</v>
      </c>
      <c r="C3583" s="2" t="s">
        <v>4075</v>
      </c>
      <c r="D3583" s="3" t="str">
        <f t="shared" ref="D3583:D3584" si="334">HYPERLINK("https://12go.asia/en/travel/Toyama/Omiya-Station", "12Go Link")</f>
        <v>12Go Link</v>
      </c>
      <c r="E3583" s="2" t="s">
        <v>4040</v>
      </c>
    </row>
    <row r="3584">
      <c r="A3584" s="2" t="s">
        <v>4045</v>
      </c>
      <c r="B3584" s="2" t="s">
        <v>4041</v>
      </c>
      <c r="C3584" s="2" t="s">
        <v>4075</v>
      </c>
      <c r="D3584" s="3" t="str">
        <f t="shared" si="334"/>
        <v>12Go Link</v>
      </c>
      <c r="E3584" s="2" t="s">
        <v>4037</v>
      </c>
    </row>
    <row r="3585">
      <c r="A3585" s="2" t="s">
        <v>4045</v>
      </c>
      <c r="B3585" s="2" t="s">
        <v>4043</v>
      </c>
      <c r="C3585" s="2" t="s">
        <v>4076</v>
      </c>
      <c r="D3585" s="3" t="str">
        <f t="shared" ref="D3585:D3586" si="335">HYPERLINK("https://12go.asia/en/travel/Toyama/Tokyo", "12Go Link")</f>
        <v>12Go Link</v>
      </c>
      <c r="E3585" s="2" t="s">
        <v>4040</v>
      </c>
    </row>
    <row r="3586">
      <c r="A3586" s="2" t="s">
        <v>4045</v>
      </c>
      <c r="B3586" s="2" t="s">
        <v>4043</v>
      </c>
      <c r="C3586" s="2" t="s">
        <v>4076</v>
      </c>
      <c r="D3586" s="3" t="str">
        <f t="shared" si="335"/>
        <v>12Go Link</v>
      </c>
      <c r="E3586" s="2" t="s">
        <v>4037</v>
      </c>
    </row>
    <row r="3587">
      <c r="A3587" s="2" t="s">
        <v>4045</v>
      </c>
      <c r="B3587" s="2" t="s">
        <v>4047</v>
      </c>
      <c r="C3587" s="2" t="s">
        <v>4077</v>
      </c>
      <c r="D3587" s="3" t="str">
        <f>HYPERLINK("https://12go.asia/en/travel/Toyama/Tsuruga", "12Go Link")</f>
        <v>12Go Link</v>
      </c>
      <c r="E3587" s="2" t="s">
        <v>4037</v>
      </c>
    </row>
    <row r="3588">
      <c r="A3588" s="2" t="s">
        <v>4047</v>
      </c>
      <c r="B3588" s="2" t="s">
        <v>4034</v>
      </c>
      <c r="C3588" s="2" t="s">
        <v>4078</v>
      </c>
      <c r="D3588" s="3" t="str">
        <f>HYPERLINK("https://12go.asia/en/travel/Tsuruga/Fukui", "12Go Link")</f>
        <v>12Go Link</v>
      </c>
      <c r="E3588" s="2" t="s">
        <v>4037</v>
      </c>
    </row>
    <row r="3589">
      <c r="A3589" s="2" t="s">
        <v>4047</v>
      </c>
      <c r="B3589" s="2" t="s">
        <v>4035</v>
      </c>
      <c r="C3589" s="2" t="s">
        <v>4079</v>
      </c>
      <c r="D3589" s="3" t="str">
        <f>HYPERLINK("https://12go.asia/en/travel/Tsuruga/Kanazawa", "12Go Link")</f>
        <v>12Go Link</v>
      </c>
      <c r="E3589" s="2" t="s">
        <v>4037</v>
      </c>
    </row>
    <row r="3590">
      <c r="A3590" s="2" t="s">
        <v>4047</v>
      </c>
      <c r="B3590" s="2" t="s">
        <v>4038</v>
      </c>
      <c r="C3590" s="2" t="s">
        <v>4080</v>
      </c>
      <c r="D3590" s="3" t="str">
        <f>HYPERLINK("https://12go.asia/en/travel/Tsuruga/Nagano-station", "12Go Link")</f>
        <v>12Go Link</v>
      </c>
      <c r="E3590" s="2" t="s">
        <v>4037</v>
      </c>
    </row>
    <row r="3591">
      <c r="A3591" s="2" t="s">
        <v>4047</v>
      </c>
      <c r="B3591" s="2" t="s">
        <v>4041</v>
      </c>
      <c r="C3591" s="2" t="s">
        <v>4081</v>
      </c>
      <c r="D3591" s="3" t="str">
        <f t="shared" ref="D3591:D3592" si="336">HYPERLINK("https://12go.asia/en/travel/Tsuruga/Omiya-Station", "12Go Link")</f>
        <v>12Go Link</v>
      </c>
      <c r="E3591" s="2" t="s">
        <v>4040</v>
      </c>
    </row>
    <row r="3592">
      <c r="A3592" s="2" t="s">
        <v>4047</v>
      </c>
      <c r="B3592" s="2" t="s">
        <v>4041</v>
      </c>
      <c r="C3592" s="2" t="s">
        <v>4081</v>
      </c>
      <c r="D3592" s="3" t="str">
        <f t="shared" si="336"/>
        <v>12Go Link</v>
      </c>
      <c r="E3592" s="2" t="s">
        <v>4037</v>
      </c>
    </row>
    <row r="3593">
      <c r="A3593" s="2" t="s">
        <v>4047</v>
      </c>
      <c r="B3593" s="2" t="s">
        <v>4043</v>
      </c>
      <c r="C3593" s="2" t="s">
        <v>4082</v>
      </c>
      <c r="D3593" s="3" t="str">
        <f t="shared" ref="D3593:D3594" si="337">HYPERLINK("https://12go.asia/en/travel/Tsuruga/Tokyo", "12Go Link")</f>
        <v>12Go Link</v>
      </c>
      <c r="E3593" s="2" t="s">
        <v>4040</v>
      </c>
    </row>
    <row r="3594">
      <c r="A3594" s="2" t="s">
        <v>4047</v>
      </c>
      <c r="B3594" s="2" t="s">
        <v>4043</v>
      </c>
      <c r="C3594" s="2" t="s">
        <v>4082</v>
      </c>
      <c r="D3594" s="3" t="str">
        <f t="shared" si="337"/>
        <v>12Go Link</v>
      </c>
      <c r="E3594" s="2" t="s">
        <v>4037</v>
      </c>
    </row>
    <row r="3595">
      <c r="A3595" s="2" t="s">
        <v>4047</v>
      </c>
      <c r="B3595" s="2" t="s">
        <v>4045</v>
      </c>
      <c r="C3595" s="2" t="s">
        <v>4083</v>
      </c>
      <c r="D3595" s="3" t="str">
        <f>HYPERLINK("https://12go.asia/en/travel/Tsuruga/Toyama", "12Go Link")</f>
        <v>12Go Link</v>
      </c>
      <c r="E3595" s="2" t="s">
        <v>4037</v>
      </c>
    </row>
    <row r="3596">
      <c r="A3596" s="2" t="s">
        <v>4084</v>
      </c>
      <c r="B3596" s="2" t="s">
        <v>1978</v>
      </c>
      <c r="C3596" s="2" t="s">
        <v>4085</v>
      </c>
      <c r="D3596" s="3" t="str">
        <f t="shared" ref="D3596:D3597" si="338">HYPERLINK("https://12go.asia/en/travel/Huay-Xai/Luang-Prabang", "12Go Link")</f>
        <v>12Go Link</v>
      </c>
      <c r="E3596" s="2" t="s">
        <v>4086</v>
      </c>
    </row>
    <row r="3597">
      <c r="A3597" s="2" t="s">
        <v>4084</v>
      </c>
      <c r="B3597" s="2" t="s">
        <v>1978</v>
      </c>
      <c r="C3597" s="2" t="s">
        <v>4085</v>
      </c>
      <c r="D3597" s="3" t="str">
        <f t="shared" si="338"/>
        <v>12Go Link</v>
      </c>
      <c r="E3597" s="2" t="s">
        <v>4087</v>
      </c>
    </row>
    <row r="3598">
      <c r="A3598" s="2" t="s">
        <v>4084</v>
      </c>
      <c r="B3598" s="2" t="s">
        <v>1978</v>
      </c>
      <c r="C3598" s="2" t="s">
        <v>4088</v>
      </c>
      <c r="D3598" s="3" t="str">
        <f t="shared" ref="D3598:D3599" si="339">HYPERLINK("https://12go.asia/en/travel/Huay-Xai/Pak-Beng", "12Go Link")</f>
        <v>12Go Link</v>
      </c>
      <c r="E3598" s="2" t="s">
        <v>4089</v>
      </c>
    </row>
    <row r="3599">
      <c r="A3599" s="2" t="s">
        <v>4084</v>
      </c>
      <c r="B3599" s="2" t="s">
        <v>1978</v>
      </c>
      <c r="C3599" s="2" t="s">
        <v>4088</v>
      </c>
      <c r="D3599" s="3" t="str">
        <f t="shared" si="339"/>
        <v>12Go Link</v>
      </c>
      <c r="E3599" s="2" t="s">
        <v>4090</v>
      </c>
    </row>
    <row r="3600">
      <c r="A3600" s="2" t="s">
        <v>4084</v>
      </c>
      <c r="B3600" s="2" t="s">
        <v>4091</v>
      </c>
      <c r="C3600" s="2" t="s">
        <v>4092</v>
      </c>
      <c r="D3600" s="3" t="str">
        <f>HYPERLINK("https://12go.asia/en/travel/Huay-Xai-Pier/Chiang-Khong-Border", "12Go Link")</f>
        <v>12Go Link</v>
      </c>
      <c r="E3600" s="2" t="s">
        <v>4093</v>
      </c>
    </row>
    <row r="3601">
      <c r="A3601" s="2" t="s">
        <v>4084</v>
      </c>
      <c r="B3601" s="2" t="s">
        <v>4094</v>
      </c>
      <c r="C3601" s="2" t="s">
        <v>4095</v>
      </c>
      <c r="D3601" s="3" t="str">
        <f t="shared" ref="D3601:D3602" si="340">HYPERLINK("https://12go.asia/en/travel/Huay-Xai/Chiang-Mai", "12Go Link")</f>
        <v>12Go Link</v>
      </c>
      <c r="E3601" s="2" t="s">
        <v>4096</v>
      </c>
    </row>
    <row r="3602">
      <c r="A3602" s="2" t="s">
        <v>4084</v>
      </c>
      <c r="B3602" s="2" t="s">
        <v>4094</v>
      </c>
      <c r="C3602" s="2" t="s">
        <v>4095</v>
      </c>
      <c r="D3602" s="3" t="str">
        <f t="shared" si="340"/>
        <v>12Go Link</v>
      </c>
      <c r="E3602" s="2" t="s">
        <v>4087</v>
      </c>
    </row>
    <row r="3603">
      <c r="A3603" s="2" t="s">
        <v>4084</v>
      </c>
      <c r="B3603" s="2" t="s">
        <v>4097</v>
      </c>
      <c r="C3603" s="2" t="s">
        <v>4098</v>
      </c>
      <c r="D3603" s="3" t="str">
        <f t="shared" ref="D3603:D3604" si="341">HYPERLINK("https://12go.asia/en/travel/Huay-Xai/Chiang-Rai", "12Go Link")</f>
        <v>12Go Link</v>
      </c>
      <c r="E3603" s="2" t="s">
        <v>4096</v>
      </c>
    </row>
    <row r="3604">
      <c r="A3604" s="2" t="s">
        <v>4084</v>
      </c>
      <c r="B3604" s="2" t="s">
        <v>4097</v>
      </c>
      <c r="C3604" s="2" t="s">
        <v>4098</v>
      </c>
      <c r="D3604" s="3" t="str">
        <f t="shared" si="341"/>
        <v>12Go Link</v>
      </c>
      <c r="E3604" s="2" t="s">
        <v>4087</v>
      </c>
    </row>
    <row r="3605">
      <c r="A3605" s="2" t="s">
        <v>4099</v>
      </c>
      <c r="B3605" s="2" t="s">
        <v>1978</v>
      </c>
      <c r="C3605" s="2" t="s">
        <v>4100</v>
      </c>
      <c r="D3605" s="3" t="str">
        <f>HYPERLINK("https://12go.asia/en/travel/Boten-Railway-Station/Luang-Prabang-Railway-Station", "12Go Link")</f>
        <v>12Go Link</v>
      </c>
      <c r="E3605" s="2" t="s">
        <v>4101</v>
      </c>
    </row>
    <row r="3606">
      <c r="A3606" s="2" t="s">
        <v>4099</v>
      </c>
      <c r="B3606" s="2" t="s">
        <v>4102</v>
      </c>
      <c r="C3606" s="2" t="s">
        <v>4103</v>
      </c>
      <c r="D3606" s="3" t="str">
        <f>HYPERLINK("https://12go.asia/en/travel/Boten-Railway-Station/Vang-Vieng-Railway-Station", "12Go Link")</f>
        <v>12Go Link</v>
      </c>
      <c r="E3606" s="2" t="s">
        <v>4101</v>
      </c>
    </row>
    <row r="3607">
      <c r="A3607" s="2" t="s">
        <v>4099</v>
      </c>
      <c r="B3607" s="2" t="s">
        <v>281</v>
      </c>
      <c r="C3607" s="2" t="s">
        <v>4104</v>
      </c>
      <c r="D3607" s="3" t="str">
        <f>HYPERLINK("https://12go.asia/en/travel/Boten-Railway-Station/Vientiane-Railway-Station", "12Go Link")</f>
        <v>12Go Link</v>
      </c>
      <c r="E3607" s="2" t="s">
        <v>4101</v>
      </c>
    </row>
    <row r="3608">
      <c r="A3608" s="2" t="s">
        <v>1978</v>
      </c>
      <c r="B3608" s="2" t="s">
        <v>4084</v>
      </c>
      <c r="C3608" s="2" t="s">
        <v>4105</v>
      </c>
      <c r="D3608" s="3" t="str">
        <f>HYPERLINK("https://12go.asia/en/travel/Luang-Prabang/Huay-Xai", "12Go Link")</f>
        <v>12Go Link</v>
      </c>
      <c r="E3608" s="2" t="s">
        <v>4086</v>
      </c>
    </row>
    <row r="3609">
      <c r="A3609" s="2" t="s">
        <v>1978</v>
      </c>
      <c r="B3609" s="2" t="s">
        <v>4084</v>
      </c>
      <c r="C3609" s="2" t="s">
        <v>4106</v>
      </c>
      <c r="D3609" s="3" t="str">
        <f>HYPERLINK("https://12go.asia/en/travel/Villa-Ban-Pakham-Hotel/Huay-Xai-Airport", "12Go Link")</f>
        <v>12Go Link</v>
      </c>
      <c r="E3609" s="2" t="s">
        <v>8</v>
      </c>
    </row>
    <row r="3610">
      <c r="A3610" s="2" t="s">
        <v>1978</v>
      </c>
      <c r="B3610" s="2" t="s">
        <v>1978</v>
      </c>
      <c r="C3610" s="2" t="s">
        <v>4107</v>
      </c>
      <c r="D3610" s="3" t="str">
        <f t="shared" ref="D3610:D3611" si="342">HYPERLINK("https://12go.asia/en/travel/Luang-Prabang/Pak-Beng", "12Go Link")</f>
        <v>12Go Link</v>
      </c>
      <c r="E3610" s="2" t="s">
        <v>4089</v>
      </c>
    </row>
    <row r="3611">
      <c r="A3611" s="2" t="s">
        <v>1978</v>
      </c>
      <c r="B3611" s="2" t="s">
        <v>1978</v>
      </c>
      <c r="C3611" s="2" t="s">
        <v>4107</v>
      </c>
      <c r="D3611" s="3" t="str">
        <f t="shared" si="342"/>
        <v>12Go Link</v>
      </c>
      <c r="E3611" s="2" t="s">
        <v>4090</v>
      </c>
    </row>
    <row r="3612">
      <c r="A3612" s="2" t="s">
        <v>1978</v>
      </c>
      <c r="B3612" s="2" t="s">
        <v>1978</v>
      </c>
      <c r="C3612" s="2" t="s">
        <v>4108</v>
      </c>
      <c r="D3612" s="3" t="str">
        <f>HYPERLINK("https://12go.asia/en/travel/Luang-Prabang-Airport/Luang-Prabang-Transfer", "12Go Link")</f>
        <v>12Go Link</v>
      </c>
      <c r="E3612" s="2" t="s">
        <v>215</v>
      </c>
    </row>
    <row r="3613">
      <c r="A3613" s="2" t="s">
        <v>1978</v>
      </c>
      <c r="B3613" s="2" t="s">
        <v>1978</v>
      </c>
      <c r="C3613" s="2" t="s">
        <v>4109</v>
      </c>
      <c r="D3613" s="3" t="str">
        <f>HYPERLINK("https://12go.asia/en/travel/Luang-Prabang-Railway-Station/Luang-Prabang-Transfer", "12Go Link")</f>
        <v>12Go Link</v>
      </c>
      <c r="E3613" s="2" t="s">
        <v>215</v>
      </c>
    </row>
    <row r="3614">
      <c r="A3614" s="2" t="s">
        <v>1978</v>
      </c>
      <c r="B3614" s="2" t="s">
        <v>1978</v>
      </c>
      <c r="C3614" s="2" t="s">
        <v>4110</v>
      </c>
      <c r="D3614" s="3" t="str">
        <f>HYPERLINK("https://12go.asia/en/travel/Luang-Prabang-Transfer/Luang-Prabang-Airport", "12Go Link")</f>
        <v>12Go Link</v>
      </c>
      <c r="E3614" s="2" t="s">
        <v>215</v>
      </c>
    </row>
    <row r="3615">
      <c r="A3615" s="2" t="s">
        <v>1978</v>
      </c>
      <c r="B3615" s="2" t="s">
        <v>1978</v>
      </c>
      <c r="C3615" s="2" t="s">
        <v>4111</v>
      </c>
      <c r="D3615" s="3" t="str">
        <f>HYPERLINK("https://12go.asia/en/travel/Villa-Ban-Pakham-Hotel/Kuang-Si-Falls", "12Go Link")</f>
        <v>12Go Link</v>
      </c>
      <c r="E3615" s="2" t="s">
        <v>8</v>
      </c>
    </row>
    <row r="3616">
      <c r="A3616" s="2" t="s">
        <v>1978</v>
      </c>
      <c r="B3616" s="2" t="s">
        <v>1978</v>
      </c>
      <c r="C3616" s="2" t="s">
        <v>4112</v>
      </c>
      <c r="D3616" s="3" t="str">
        <f>HYPERLINK("https://12go.asia/en/travel/Villa-Ban-Pakham-Hotel/Luang-Prabang-International-Airport", "12Go Link")</f>
        <v>12Go Link</v>
      </c>
      <c r="E3616" s="2" t="s">
        <v>8</v>
      </c>
    </row>
    <row r="3617">
      <c r="A3617" s="2" t="s">
        <v>1978</v>
      </c>
      <c r="B3617" s="2" t="s">
        <v>4113</v>
      </c>
      <c r="C3617" s="2" t="s">
        <v>4114</v>
      </c>
      <c r="D3617" s="3" t="str">
        <f>HYPERLINK("https://12go.asia/en/travel/Luang-Prabang-Transfer/Nong-Khiaw-Hotel-Transfer", "12Go Link")</f>
        <v>12Go Link</v>
      </c>
      <c r="E3617" s="2" t="s">
        <v>215</v>
      </c>
    </row>
    <row r="3618">
      <c r="A3618" s="2" t="s">
        <v>1978</v>
      </c>
      <c r="B3618" s="2" t="s">
        <v>4113</v>
      </c>
      <c r="C3618" s="2" t="s">
        <v>4115</v>
      </c>
      <c r="D3618" s="3" t="str">
        <f>HYPERLINK("https://12go.asia/en/travel/Villa-Ban-Pakham-Hotel/Nong-Khiaw-Bus-Terminal", "12Go Link")</f>
        <v>12Go Link</v>
      </c>
      <c r="E3618" s="2" t="s">
        <v>8</v>
      </c>
    </row>
    <row r="3619">
      <c r="A3619" s="2" t="s">
        <v>1978</v>
      </c>
      <c r="B3619" s="2" t="s">
        <v>4116</v>
      </c>
      <c r="C3619" s="2" t="s">
        <v>4117</v>
      </c>
      <c r="D3619" s="3" t="str">
        <f>HYPERLINK("https://12go.asia/en/travel/Villa-Ban-Pakham-Hotel/Oudomxay-Bus-Station", "12Go Link")</f>
        <v>12Go Link</v>
      </c>
      <c r="E3619" s="2" t="s">
        <v>8</v>
      </c>
    </row>
    <row r="3620">
      <c r="A3620" s="2" t="s">
        <v>1978</v>
      </c>
      <c r="B3620" s="2" t="s">
        <v>4102</v>
      </c>
      <c r="C3620" s="2" t="s">
        <v>4118</v>
      </c>
      <c r="D3620" s="3" t="str">
        <f t="shared" ref="D3620:D3621" si="343">HYPERLINK("https://12go.asia/en/travel/Luang-Prabang-Transfer/Vang-Vieng-Transfer", "12Go Link")</f>
        <v>12Go Link</v>
      </c>
      <c r="E3620" s="2" t="s">
        <v>215</v>
      </c>
    </row>
    <row r="3621">
      <c r="A3621" s="2" t="s">
        <v>1978</v>
      </c>
      <c r="B3621" s="2" t="s">
        <v>4102</v>
      </c>
      <c r="C3621" s="2" t="s">
        <v>4118</v>
      </c>
      <c r="D3621" s="3" t="str">
        <f t="shared" si="343"/>
        <v>12Go Link</v>
      </c>
      <c r="E3621" s="2" t="s">
        <v>4119</v>
      </c>
    </row>
    <row r="3622">
      <c r="A3622" s="2" t="s">
        <v>1978</v>
      </c>
      <c r="B3622" s="2" t="s">
        <v>281</v>
      </c>
      <c r="C3622" s="2" t="s">
        <v>4120</v>
      </c>
      <c r="D3622" s="3" t="str">
        <f t="shared" ref="D3622:D3623" si="344">HYPERLINK("https://12go.asia/en/travel/Luang-Prabang-Transfer/Vientiane-Transfer", "12Go Link")</f>
        <v>12Go Link</v>
      </c>
      <c r="E3622" s="2" t="s">
        <v>215</v>
      </c>
    </row>
    <row r="3623">
      <c r="A3623" s="2" t="s">
        <v>1978</v>
      </c>
      <c r="B3623" s="2" t="s">
        <v>281</v>
      </c>
      <c r="C3623" s="2" t="s">
        <v>4120</v>
      </c>
      <c r="D3623" s="3" t="str">
        <f t="shared" si="344"/>
        <v>12Go Link</v>
      </c>
      <c r="E3623" s="2" t="s">
        <v>4119</v>
      </c>
    </row>
    <row r="3624">
      <c r="A3624" s="2" t="s">
        <v>1978</v>
      </c>
      <c r="B3624" s="2" t="s">
        <v>281</v>
      </c>
      <c r="C3624" s="2" t="s">
        <v>4121</v>
      </c>
      <c r="D3624" s="3" t="str">
        <f>HYPERLINK("https://12go.asia/en/travel/Villa-Ban-Pakham-Hotel/Vientiane-Garden-Boutique-Hotel", "12Go Link")</f>
        <v>12Go Link</v>
      </c>
      <c r="E3624" s="2" t="s">
        <v>8</v>
      </c>
    </row>
    <row r="3625">
      <c r="A3625" s="2" t="s">
        <v>1978</v>
      </c>
      <c r="B3625" s="2" t="s">
        <v>4094</v>
      </c>
      <c r="C3625" s="2" t="s">
        <v>4122</v>
      </c>
      <c r="D3625" s="3" t="str">
        <f>HYPERLINK("https://12go.asia/en/travel/Luang-Prabang/Chiang-Mai", "12Go Link")</f>
        <v>12Go Link</v>
      </c>
      <c r="E3625" s="2" t="s">
        <v>4123</v>
      </c>
    </row>
    <row r="3626">
      <c r="A3626" s="2" t="s">
        <v>1978</v>
      </c>
      <c r="B3626" s="2" t="s">
        <v>4097</v>
      </c>
      <c r="C3626" s="2" t="s">
        <v>4124</v>
      </c>
      <c r="D3626" s="3" t="str">
        <f>HYPERLINK("https://12go.asia/en/travel/Luang-Prabang/Chiang-Rai", "12Go Link")</f>
        <v>12Go Link</v>
      </c>
      <c r="E3626" s="2" t="s">
        <v>4123</v>
      </c>
    </row>
    <row r="3627">
      <c r="A3627" s="2" t="s">
        <v>4113</v>
      </c>
      <c r="B3627" s="2" t="s">
        <v>1978</v>
      </c>
      <c r="C3627" s="2" t="s">
        <v>4125</v>
      </c>
      <c r="D3627" s="3" t="str">
        <f t="shared" ref="D3627:D3628" si="345">HYPERLINK("https://12go.asia/en/travel/Nong-Khiaw-Hotel-Transfer/Luang-Prabang-Hotel-Transfer", "12Go Link")</f>
        <v>12Go Link</v>
      </c>
      <c r="E3627" s="2" t="s">
        <v>4126</v>
      </c>
    </row>
    <row r="3628">
      <c r="A3628" s="2" t="s">
        <v>4113</v>
      </c>
      <c r="B3628" s="2" t="s">
        <v>1978</v>
      </c>
      <c r="C3628" s="2" t="s">
        <v>4125</v>
      </c>
      <c r="D3628" s="3" t="str">
        <f t="shared" si="345"/>
        <v>12Go Link</v>
      </c>
      <c r="E3628" s="2" t="s">
        <v>4127</v>
      </c>
    </row>
    <row r="3629">
      <c r="A3629" s="2" t="s">
        <v>4113</v>
      </c>
      <c r="B3629" s="2" t="s">
        <v>1978</v>
      </c>
      <c r="C3629" s="2" t="s">
        <v>4128</v>
      </c>
      <c r="D3629" s="3" t="str">
        <f>HYPERLINK("https://12go.asia/en/travel/Nong-Khiaw-Hotel-Transfer/Luang-Prabang-Transfer", "12Go Link")</f>
        <v>12Go Link</v>
      </c>
      <c r="E3629" s="2" t="s">
        <v>215</v>
      </c>
    </row>
    <row r="3630">
      <c r="A3630" s="2" t="s">
        <v>4113</v>
      </c>
      <c r="B3630" s="2" t="s">
        <v>1978</v>
      </c>
      <c r="C3630" s="2" t="s">
        <v>4129</v>
      </c>
      <c r="D3630" s="3" t="str">
        <f>HYPERLINK("https://12go.asia/en/travel/Nong-Khiaw-Hotel-Transfer/Northern-Bus-Station", "12Go Link")</f>
        <v>12Go Link</v>
      </c>
      <c r="E3630" s="2" t="s">
        <v>4126</v>
      </c>
    </row>
    <row r="3631">
      <c r="A3631" s="2" t="s">
        <v>4102</v>
      </c>
      <c r="B3631" s="2" t="s">
        <v>1978</v>
      </c>
      <c r="C3631" s="2" t="s">
        <v>4130</v>
      </c>
      <c r="D3631" s="3" t="str">
        <f>HYPERLINK("https://12go.asia/en/travel/VangVieng-Backpackers-Hostel/Villa-Ban-Pakham-Hotel", "12Go Link")</f>
        <v>12Go Link</v>
      </c>
      <c r="E3631" s="2" t="s">
        <v>8</v>
      </c>
    </row>
    <row r="3632">
      <c r="A3632" s="2" t="s">
        <v>4102</v>
      </c>
      <c r="B3632" s="2" t="s">
        <v>4116</v>
      </c>
      <c r="C3632" s="2" t="s">
        <v>4131</v>
      </c>
      <c r="D3632" s="3" t="str">
        <f>HYPERLINK("https://12go.asia/en/travel/Vang-Vieng-Railway-Station/Oudomxay-Railway-Station", "12Go Link")</f>
        <v>12Go Link</v>
      </c>
      <c r="E3632" s="2" t="s">
        <v>4101</v>
      </c>
    </row>
    <row r="3633">
      <c r="A3633" s="2" t="s">
        <v>4102</v>
      </c>
      <c r="B3633" s="2" t="s">
        <v>4132</v>
      </c>
      <c r="C3633" s="2" t="s">
        <v>4133</v>
      </c>
      <c r="D3633" s="3" t="str">
        <f>HYPERLINK("https://12go.asia/en/travel/Vang-Vieng-Transfer/Thanaleng-Border-Laos-side", "12Go Link")</f>
        <v>12Go Link</v>
      </c>
      <c r="E3633" s="2" t="s">
        <v>215</v>
      </c>
    </row>
    <row r="3634">
      <c r="A3634" s="2" t="s">
        <v>4102</v>
      </c>
      <c r="B3634" s="2" t="s">
        <v>281</v>
      </c>
      <c r="C3634" s="2" t="s">
        <v>4134</v>
      </c>
      <c r="D3634" s="3" t="str">
        <f t="shared" ref="D3634:D3635" si="346">HYPERLINK("https://12go.asia/en/travel/Vang-Vieng-Transfer/Vientiane-Transfer", "12Go Link")</f>
        <v>12Go Link</v>
      </c>
      <c r="E3634" s="2" t="s">
        <v>215</v>
      </c>
    </row>
    <row r="3635">
      <c r="A3635" s="2" t="s">
        <v>4102</v>
      </c>
      <c r="B3635" s="2" t="s">
        <v>281</v>
      </c>
      <c r="C3635" s="2" t="s">
        <v>4134</v>
      </c>
      <c r="D3635" s="3" t="str">
        <f t="shared" si="346"/>
        <v>12Go Link</v>
      </c>
      <c r="E3635" s="2" t="s">
        <v>4119</v>
      </c>
    </row>
    <row r="3636">
      <c r="A3636" s="2" t="s">
        <v>4102</v>
      </c>
      <c r="B3636" s="2" t="s">
        <v>281</v>
      </c>
      <c r="C3636" s="2" t="s">
        <v>4135</v>
      </c>
      <c r="D3636" s="3" t="str">
        <f>HYPERLINK("https://12go.asia/en/travel/VangVieng-Backpackers-Hostel/Vientiane-Garden-Boutique-Hotel", "12Go Link")</f>
        <v>12Go Link</v>
      </c>
      <c r="E3636" s="2" t="s">
        <v>8</v>
      </c>
    </row>
    <row r="3637">
      <c r="A3637" s="2" t="s">
        <v>281</v>
      </c>
      <c r="B3637" s="2" t="s">
        <v>1978</v>
      </c>
      <c r="C3637" s="2" t="s">
        <v>4136</v>
      </c>
      <c r="D3637" s="3" t="str">
        <f t="shared" ref="D3637:D3638" si="347">HYPERLINK("https://12go.asia/en/travel/Vientiane-Transfer/Luang-Prabang-Transfer", "12Go Link")</f>
        <v>12Go Link</v>
      </c>
      <c r="E3637" s="2" t="s">
        <v>215</v>
      </c>
    </row>
    <row r="3638">
      <c r="A3638" s="2" t="s">
        <v>281</v>
      </c>
      <c r="B3638" s="2" t="s">
        <v>1978</v>
      </c>
      <c r="C3638" s="2" t="s">
        <v>4136</v>
      </c>
      <c r="D3638" s="3" t="str">
        <f t="shared" si="347"/>
        <v>12Go Link</v>
      </c>
      <c r="E3638" s="2" t="s">
        <v>4119</v>
      </c>
    </row>
    <row r="3639">
      <c r="A3639" s="2" t="s">
        <v>281</v>
      </c>
      <c r="B3639" s="2" t="s">
        <v>4102</v>
      </c>
      <c r="C3639" s="2" t="s">
        <v>4137</v>
      </c>
      <c r="D3639" s="3" t="str">
        <f t="shared" ref="D3639:D3640" si="348">HYPERLINK("https://12go.asia/en/travel/Vientiane-Transfer/Vang-Vieng-Transfer", "12Go Link")</f>
        <v>12Go Link</v>
      </c>
      <c r="E3639" s="2" t="s">
        <v>215</v>
      </c>
    </row>
    <row r="3640">
      <c r="A3640" s="2" t="s">
        <v>281</v>
      </c>
      <c r="B3640" s="2" t="s">
        <v>4102</v>
      </c>
      <c r="C3640" s="2" t="s">
        <v>4137</v>
      </c>
      <c r="D3640" s="3" t="str">
        <f t="shared" si="348"/>
        <v>12Go Link</v>
      </c>
      <c r="E3640" s="2" t="s">
        <v>4119</v>
      </c>
    </row>
    <row r="3641">
      <c r="A3641" s="2" t="s">
        <v>281</v>
      </c>
      <c r="B3641" s="2" t="s">
        <v>3850</v>
      </c>
      <c r="C3641" s="2" t="s">
        <v>4138</v>
      </c>
      <c r="D3641" s="3" t="str">
        <f t="shared" ref="D3641:D3643" si="349">HYPERLINK("https://12go.asia/en/travel/Khamsavath-Railway-station/Krung-Thep-Aphiwat-Central-Terminal-Station", "12Go Link")</f>
        <v>12Go Link</v>
      </c>
      <c r="E3641" s="2" t="s">
        <v>4139</v>
      </c>
    </row>
    <row r="3642">
      <c r="A3642" s="2" t="s">
        <v>281</v>
      </c>
      <c r="B3642" s="2" t="s">
        <v>3850</v>
      </c>
      <c r="C3642" s="2" t="s">
        <v>4138</v>
      </c>
      <c r="D3642" s="3" t="str">
        <f t="shared" si="349"/>
        <v>12Go Link</v>
      </c>
      <c r="E3642" s="2" t="s">
        <v>4140</v>
      </c>
    </row>
    <row r="3643">
      <c r="A3643" s="2" t="s">
        <v>281</v>
      </c>
      <c r="B3643" s="2" t="s">
        <v>3850</v>
      </c>
      <c r="C3643" s="2" t="s">
        <v>4138</v>
      </c>
      <c r="D3643" s="3" t="str">
        <f t="shared" si="349"/>
        <v>12Go Link</v>
      </c>
      <c r="E3643" s="2" t="s">
        <v>4141</v>
      </c>
    </row>
    <row r="3644">
      <c r="A3644" s="2" t="s">
        <v>281</v>
      </c>
      <c r="B3644" s="2" t="s">
        <v>3850</v>
      </c>
      <c r="C3644" s="2" t="s">
        <v>4142</v>
      </c>
      <c r="D3644" s="3" t="str">
        <f t="shared" ref="D3644:D3645" si="350">HYPERLINK("https://12go.asia/en/travel/Vientiane-Hotel-Transfer/Bangkok-Transfer", "12Go Link")</f>
        <v>12Go Link</v>
      </c>
      <c r="E3644" s="2" t="s">
        <v>215</v>
      </c>
    </row>
    <row r="3645">
      <c r="A3645" s="2" t="s">
        <v>281</v>
      </c>
      <c r="B3645" s="2" t="s">
        <v>3850</v>
      </c>
      <c r="C3645" s="2" t="s">
        <v>4142</v>
      </c>
      <c r="D3645" s="3" t="str">
        <f t="shared" si="350"/>
        <v>12Go Link</v>
      </c>
      <c r="E3645" s="2" t="s">
        <v>4119</v>
      </c>
    </row>
    <row r="3646">
      <c r="A3646" s="2" t="s">
        <v>281</v>
      </c>
      <c r="B3646" s="2" t="s">
        <v>4143</v>
      </c>
      <c r="C3646" s="2" t="s">
        <v>4144</v>
      </c>
      <c r="D3646" s="3" t="str">
        <f t="shared" ref="D3646:D3648" si="351">HYPERLINK("https://12go.asia/en/travel/Khamsavath-Railway-station/Khon-Kaen", "12Go Link")</f>
        <v>12Go Link</v>
      </c>
      <c r="E3646" s="2" t="s">
        <v>4139</v>
      </c>
    </row>
    <row r="3647">
      <c r="A3647" s="2" t="s">
        <v>281</v>
      </c>
      <c r="B3647" s="2" t="s">
        <v>4143</v>
      </c>
      <c r="C3647" s="2" t="s">
        <v>4144</v>
      </c>
      <c r="D3647" s="3" t="str">
        <f t="shared" si="351"/>
        <v>12Go Link</v>
      </c>
      <c r="E3647" s="2" t="s">
        <v>4140</v>
      </c>
    </row>
    <row r="3648">
      <c r="A3648" s="2" t="s">
        <v>281</v>
      </c>
      <c r="B3648" s="2" t="s">
        <v>4143</v>
      </c>
      <c r="C3648" s="2" t="s">
        <v>4144</v>
      </c>
      <c r="D3648" s="3" t="str">
        <f t="shared" si="351"/>
        <v>12Go Link</v>
      </c>
      <c r="E3648" s="2" t="s">
        <v>4141</v>
      </c>
    </row>
    <row r="3649">
      <c r="A3649" s="2" t="s">
        <v>281</v>
      </c>
      <c r="B3649" s="2" t="s">
        <v>4143</v>
      </c>
      <c r="C3649" s="2" t="s">
        <v>4145</v>
      </c>
      <c r="D3649" s="3" t="str">
        <f t="shared" ref="D3649:D3650" si="352">HYPERLINK("https://12go.asia/en/travel/Vientiane-Hotel-Transfer/Khon-Kaen-Hotel-Transfer", "12Go Link")</f>
        <v>12Go Link</v>
      </c>
      <c r="E3649" s="2" t="s">
        <v>215</v>
      </c>
    </row>
    <row r="3650">
      <c r="A3650" s="2" t="s">
        <v>281</v>
      </c>
      <c r="B3650" s="2" t="s">
        <v>4143</v>
      </c>
      <c r="C3650" s="2" t="s">
        <v>4145</v>
      </c>
      <c r="D3650" s="3" t="str">
        <f t="shared" si="352"/>
        <v>12Go Link</v>
      </c>
      <c r="E3650" s="2" t="s">
        <v>4119</v>
      </c>
    </row>
    <row r="3651">
      <c r="A3651" s="2" t="s">
        <v>281</v>
      </c>
      <c r="B3651" s="2" t="s">
        <v>4146</v>
      </c>
      <c r="C3651" s="2" t="s">
        <v>4147</v>
      </c>
      <c r="D3651" s="3" t="str">
        <f t="shared" ref="D3651:D3652" si="353">HYPERLINK("https://12go.asia/en/travel/Vientiane-Hotel-Transfer/Nakhon-Ratchasima-Hotel-Transfer", "12Go Link")</f>
        <v>12Go Link</v>
      </c>
      <c r="E3651" s="2" t="s">
        <v>215</v>
      </c>
    </row>
    <row r="3652">
      <c r="A3652" s="2" t="s">
        <v>281</v>
      </c>
      <c r="B3652" s="2" t="s">
        <v>4146</v>
      </c>
      <c r="C3652" s="2" t="s">
        <v>4147</v>
      </c>
      <c r="D3652" s="3" t="str">
        <f t="shared" si="353"/>
        <v>12Go Link</v>
      </c>
      <c r="E3652" s="2" t="s">
        <v>4119</v>
      </c>
    </row>
    <row r="3653">
      <c r="A3653" s="2" t="s">
        <v>281</v>
      </c>
      <c r="B3653" s="2" t="s">
        <v>4148</v>
      </c>
      <c r="C3653" s="2" t="s">
        <v>4149</v>
      </c>
      <c r="D3653" s="3" t="str">
        <f t="shared" ref="D3653:D3655" si="354">HYPERLINK("https://12go.asia/en/travel/Khamsavath-Railway-station/Nong-Khai", "12Go Link")</f>
        <v>12Go Link</v>
      </c>
      <c r="E3653" s="2" t="s">
        <v>4139</v>
      </c>
    </row>
    <row r="3654">
      <c r="A3654" s="2" t="s">
        <v>281</v>
      </c>
      <c r="B3654" s="2" t="s">
        <v>4148</v>
      </c>
      <c r="C3654" s="2" t="s">
        <v>4149</v>
      </c>
      <c r="D3654" s="3" t="str">
        <f t="shared" si="354"/>
        <v>12Go Link</v>
      </c>
      <c r="E3654" s="2" t="s">
        <v>4140</v>
      </c>
    </row>
    <row r="3655">
      <c r="A3655" s="2" t="s">
        <v>281</v>
      </c>
      <c r="B3655" s="2" t="s">
        <v>4148</v>
      </c>
      <c r="C3655" s="2" t="s">
        <v>4149</v>
      </c>
      <c r="D3655" s="3" t="str">
        <f t="shared" si="354"/>
        <v>12Go Link</v>
      </c>
      <c r="E3655" s="2" t="s">
        <v>4141</v>
      </c>
    </row>
    <row r="3656">
      <c r="A3656" s="2" t="s">
        <v>281</v>
      </c>
      <c r="B3656" s="2" t="s">
        <v>4150</v>
      </c>
      <c r="C3656" s="2" t="s">
        <v>4151</v>
      </c>
      <c r="D3656" s="3" t="str">
        <f t="shared" ref="D3656:D3658" si="355">HYPERLINK("https://12go.asia/en/travel/Khamsavath-Railway-station/Udon-Thani", "12Go Link")</f>
        <v>12Go Link</v>
      </c>
      <c r="E3656" s="2" t="s">
        <v>4139</v>
      </c>
    </row>
    <row r="3657">
      <c r="A3657" s="2" t="s">
        <v>281</v>
      </c>
      <c r="B3657" s="2" t="s">
        <v>4150</v>
      </c>
      <c r="C3657" s="2" t="s">
        <v>4151</v>
      </c>
      <c r="D3657" s="3" t="str">
        <f t="shared" si="355"/>
        <v>12Go Link</v>
      </c>
      <c r="E3657" s="2" t="s">
        <v>4140</v>
      </c>
    </row>
    <row r="3658">
      <c r="A3658" s="2" t="s">
        <v>281</v>
      </c>
      <c r="B3658" s="2" t="s">
        <v>4150</v>
      </c>
      <c r="C3658" s="2" t="s">
        <v>4151</v>
      </c>
      <c r="D3658" s="3" t="str">
        <f t="shared" si="355"/>
        <v>12Go Link</v>
      </c>
      <c r="E3658" s="2" t="s">
        <v>4141</v>
      </c>
    </row>
    <row r="3659">
      <c r="A3659" s="2" t="s">
        <v>4152</v>
      </c>
      <c r="B3659" s="2" t="s">
        <v>4153</v>
      </c>
      <c r="C3659" s="2" t="s">
        <v>4154</v>
      </c>
      <c r="D3659" s="3" t="str">
        <f t="shared" ref="D3659:D3660" si="356">HYPERLINK("https://12go.asia/en/travel/Kota-Bharu-Airport/Kuala-Besut-Jetty", "12Go Link")</f>
        <v>12Go Link</v>
      </c>
      <c r="E3659" s="2" t="s">
        <v>4155</v>
      </c>
    </row>
    <row r="3660">
      <c r="A3660" s="2" t="s">
        <v>4152</v>
      </c>
      <c r="B3660" s="2" t="s">
        <v>4153</v>
      </c>
      <c r="C3660" s="2" t="s">
        <v>4154</v>
      </c>
      <c r="D3660" s="3" t="str">
        <f t="shared" si="356"/>
        <v>12Go Link</v>
      </c>
      <c r="E3660" s="2" t="s">
        <v>4156</v>
      </c>
    </row>
    <row r="3661">
      <c r="A3661" s="2" t="s">
        <v>4152</v>
      </c>
      <c r="B3661" s="2" t="s">
        <v>4153</v>
      </c>
      <c r="C3661" s="2" t="s">
        <v>4157</v>
      </c>
      <c r="D3661" s="3" t="str">
        <f t="shared" ref="D3661:D3662" si="357">HYPERLINK("https://12go.asia/en/travel/Kota-Bharu-City-Centre/Kuala-Besut-Jetty", "12Go Link")</f>
        <v>12Go Link</v>
      </c>
      <c r="E3661" s="2" t="s">
        <v>4155</v>
      </c>
    </row>
    <row r="3662">
      <c r="A3662" s="2" t="s">
        <v>4152</v>
      </c>
      <c r="B3662" s="2" t="s">
        <v>4153</v>
      </c>
      <c r="C3662" s="2" t="s">
        <v>4157</v>
      </c>
      <c r="D3662" s="3" t="str">
        <f t="shared" si="357"/>
        <v>12Go Link</v>
      </c>
      <c r="E3662" s="2" t="s">
        <v>4156</v>
      </c>
    </row>
    <row r="3663">
      <c r="A3663" s="2" t="s">
        <v>4158</v>
      </c>
      <c r="B3663" s="2" t="s">
        <v>4159</v>
      </c>
      <c r="C3663" s="2" t="s">
        <v>4160</v>
      </c>
      <c r="D3663" s="3" t="str">
        <f>HYPERLINK("https://12go.asia/en/travel/kota-bharu/subang-airport", "12Go Link")</f>
        <v>12Go Link</v>
      </c>
      <c r="E3663" s="2" t="s">
        <v>60</v>
      </c>
    </row>
    <row r="3664">
      <c r="A3664" s="2" t="s">
        <v>4161</v>
      </c>
      <c r="B3664" s="2" t="s">
        <v>3462</v>
      </c>
      <c r="C3664" s="2" t="s">
        <v>4162</v>
      </c>
      <c r="D3664" s="3" t="str">
        <f>HYPERLINK("https://12go.asia/en/travel/kuala-lumpur/gurgaon", "12Go Link")</f>
        <v>12Go Link</v>
      </c>
      <c r="E3664" s="2" t="s">
        <v>60</v>
      </c>
    </row>
    <row r="3665">
      <c r="A3665" s="2" t="s">
        <v>4161</v>
      </c>
      <c r="B3665" s="2" t="s">
        <v>4163</v>
      </c>
      <c r="C3665" s="2" t="s">
        <v>4164</v>
      </c>
      <c r="D3665" s="3" t="str">
        <f t="shared" ref="D3665:D3667" si="358">HYPERLINK("https://12go.asia/en/travel/Kuala-Lumpur-City-Hotel-Transfer/Cameron-Highlands-Hotel-Transfer", "12Go Link")</f>
        <v>12Go Link</v>
      </c>
      <c r="E3665" s="2" t="s">
        <v>3754</v>
      </c>
    </row>
    <row r="3666">
      <c r="A3666" s="2" t="s">
        <v>4161</v>
      </c>
      <c r="B3666" s="2" t="s">
        <v>4163</v>
      </c>
      <c r="C3666" s="2" t="s">
        <v>4164</v>
      </c>
      <c r="D3666" s="3" t="str">
        <f t="shared" si="358"/>
        <v>12Go Link</v>
      </c>
      <c r="E3666" s="2" t="s">
        <v>2006</v>
      </c>
    </row>
    <row r="3667">
      <c r="A3667" s="2" t="s">
        <v>4161</v>
      </c>
      <c r="B3667" s="2" t="s">
        <v>4163</v>
      </c>
      <c r="C3667" s="2" t="s">
        <v>4164</v>
      </c>
      <c r="D3667" s="3" t="str">
        <f t="shared" si="358"/>
        <v>12Go Link</v>
      </c>
      <c r="E3667" s="2" t="s">
        <v>13</v>
      </c>
    </row>
    <row r="3668">
      <c r="A3668" s="2" t="s">
        <v>4161</v>
      </c>
      <c r="B3668" s="2" t="s">
        <v>4165</v>
      </c>
      <c r="C3668" s="2" t="s">
        <v>4166</v>
      </c>
      <c r="D3668" s="3" t="str">
        <f t="shared" ref="D3668:D3670" si="359">HYPERLINK("https://12go.asia/en/travel/Kuala-Lumpur-Airport/Genting-Highlands-Hotel-Transfer", "12Go Link")</f>
        <v>12Go Link</v>
      </c>
      <c r="E3668" s="2" t="s">
        <v>3754</v>
      </c>
    </row>
    <row r="3669">
      <c r="A3669" s="2" t="s">
        <v>4161</v>
      </c>
      <c r="B3669" s="2" t="s">
        <v>4165</v>
      </c>
      <c r="C3669" s="2" t="s">
        <v>4166</v>
      </c>
      <c r="D3669" s="3" t="str">
        <f t="shared" si="359"/>
        <v>12Go Link</v>
      </c>
      <c r="E3669" s="2" t="s">
        <v>2006</v>
      </c>
    </row>
    <row r="3670">
      <c r="A3670" s="2" t="s">
        <v>4161</v>
      </c>
      <c r="B3670" s="2" t="s">
        <v>4165</v>
      </c>
      <c r="C3670" s="2" t="s">
        <v>4166</v>
      </c>
      <c r="D3670" s="3" t="str">
        <f t="shared" si="359"/>
        <v>12Go Link</v>
      </c>
      <c r="E3670" s="2" t="s">
        <v>13</v>
      </c>
    </row>
    <row r="3671">
      <c r="A3671" s="2" t="s">
        <v>4161</v>
      </c>
      <c r="B3671" s="2" t="s">
        <v>4165</v>
      </c>
      <c r="C3671" s="2" t="s">
        <v>4167</v>
      </c>
      <c r="D3671" s="3" t="str">
        <f t="shared" ref="D3671:D3673" si="360">HYPERLINK("https://12go.asia/en/travel/Kuala-Lumpur-City-Hotel-Transfer/Genting-Highlands-Hotel-Transfer", "12Go Link")</f>
        <v>12Go Link</v>
      </c>
      <c r="E3671" s="2" t="s">
        <v>3754</v>
      </c>
    </row>
    <row r="3672">
      <c r="A3672" s="2" t="s">
        <v>4161</v>
      </c>
      <c r="B3672" s="2" t="s">
        <v>4165</v>
      </c>
      <c r="C3672" s="2" t="s">
        <v>4167</v>
      </c>
      <c r="D3672" s="3" t="str">
        <f t="shared" si="360"/>
        <v>12Go Link</v>
      </c>
      <c r="E3672" s="2" t="s">
        <v>2006</v>
      </c>
    </row>
    <row r="3673">
      <c r="A3673" s="2" t="s">
        <v>4161</v>
      </c>
      <c r="B3673" s="2" t="s">
        <v>4165</v>
      </c>
      <c r="C3673" s="2" t="s">
        <v>4167</v>
      </c>
      <c r="D3673" s="3" t="str">
        <f t="shared" si="360"/>
        <v>12Go Link</v>
      </c>
      <c r="E3673" s="2" t="s">
        <v>13</v>
      </c>
    </row>
    <row r="3674">
      <c r="A3674" s="2" t="s">
        <v>4161</v>
      </c>
      <c r="B3674" s="2" t="s">
        <v>4168</v>
      </c>
      <c r="C3674" s="2" t="s">
        <v>4169</v>
      </c>
      <c r="D3674" s="3" t="str">
        <f t="shared" ref="D3674:D3676" si="361">HYPERLINK("https://12go.asia/en/travel/Kuala-Lumpur-City-Hotel-Transfer/Ipoh-Hotel-Transfer", "12Go Link")</f>
        <v>12Go Link</v>
      </c>
      <c r="E3674" s="2" t="s">
        <v>3754</v>
      </c>
    </row>
    <row r="3675">
      <c r="A3675" s="2" t="s">
        <v>4161</v>
      </c>
      <c r="B3675" s="2" t="s">
        <v>4168</v>
      </c>
      <c r="C3675" s="2" t="s">
        <v>4169</v>
      </c>
      <c r="D3675" s="3" t="str">
        <f t="shared" si="361"/>
        <v>12Go Link</v>
      </c>
      <c r="E3675" s="2" t="s">
        <v>2006</v>
      </c>
    </row>
    <row r="3676">
      <c r="A3676" s="2" t="s">
        <v>4161</v>
      </c>
      <c r="B3676" s="2" t="s">
        <v>4168</v>
      </c>
      <c r="C3676" s="2" t="s">
        <v>4169</v>
      </c>
      <c r="D3676" s="3" t="str">
        <f t="shared" si="361"/>
        <v>12Go Link</v>
      </c>
      <c r="E3676" s="2" t="s">
        <v>13</v>
      </c>
    </row>
    <row r="3677">
      <c r="A3677" s="2" t="s">
        <v>4161</v>
      </c>
      <c r="B3677" s="2" t="s">
        <v>4170</v>
      </c>
      <c r="C3677" s="2" t="s">
        <v>4171</v>
      </c>
      <c r="D3677" s="3" t="str">
        <f t="shared" ref="D3677:D3679" si="362">HYPERLINK("https://12go.asia/en/travel/Kuala-Lumpur-City-Hotel-Transfer/Iskandar-Puteri", "12Go Link")</f>
        <v>12Go Link</v>
      </c>
      <c r="E3677" s="2" t="s">
        <v>3754</v>
      </c>
    </row>
    <row r="3678">
      <c r="A3678" s="2" t="s">
        <v>4161</v>
      </c>
      <c r="B3678" s="2" t="s">
        <v>4170</v>
      </c>
      <c r="C3678" s="2" t="s">
        <v>4171</v>
      </c>
      <c r="D3678" s="3" t="str">
        <f t="shared" si="362"/>
        <v>12Go Link</v>
      </c>
      <c r="E3678" s="2" t="s">
        <v>2006</v>
      </c>
    </row>
    <row r="3679">
      <c r="A3679" s="2" t="s">
        <v>4161</v>
      </c>
      <c r="B3679" s="2" t="s">
        <v>4170</v>
      </c>
      <c r="C3679" s="2" t="s">
        <v>4171</v>
      </c>
      <c r="D3679" s="3" t="str">
        <f t="shared" si="362"/>
        <v>12Go Link</v>
      </c>
      <c r="E3679" s="2" t="s">
        <v>13</v>
      </c>
    </row>
    <row r="3680">
      <c r="A3680" s="2" t="s">
        <v>4161</v>
      </c>
      <c r="B3680" s="2" t="s">
        <v>4170</v>
      </c>
      <c r="C3680" s="2" t="s">
        <v>4172</v>
      </c>
      <c r="D3680" s="3" t="str">
        <f t="shared" ref="D3680:D3682" si="363">HYPERLINK("https://12go.asia/en/travel/Kuala-Lumpur-City-Hotel-Transfer/Legoland", "12Go Link")</f>
        <v>12Go Link</v>
      </c>
      <c r="E3680" s="2" t="s">
        <v>3754</v>
      </c>
    </row>
    <row r="3681">
      <c r="A3681" s="2" t="s">
        <v>4161</v>
      </c>
      <c r="B3681" s="2" t="s">
        <v>4170</v>
      </c>
      <c r="C3681" s="2" t="s">
        <v>4172</v>
      </c>
      <c r="D3681" s="3" t="str">
        <f t="shared" si="363"/>
        <v>12Go Link</v>
      </c>
      <c r="E3681" s="2" t="s">
        <v>2006</v>
      </c>
    </row>
    <row r="3682">
      <c r="A3682" s="2" t="s">
        <v>4161</v>
      </c>
      <c r="B3682" s="2" t="s">
        <v>4170</v>
      </c>
      <c r="C3682" s="2" t="s">
        <v>4172</v>
      </c>
      <c r="D3682" s="3" t="str">
        <f t="shared" si="363"/>
        <v>12Go Link</v>
      </c>
      <c r="E3682" s="2" t="s">
        <v>13</v>
      </c>
    </row>
    <row r="3683">
      <c r="A3683" s="2" t="s">
        <v>4161</v>
      </c>
      <c r="B3683" s="2" t="s">
        <v>4170</v>
      </c>
      <c r="C3683" s="2" t="s">
        <v>4173</v>
      </c>
      <c r="D3683" s="3" t="str">
        <f t="shared" ref="D3683:D3685" si="364">HYPERLINK("https://12go.asia/en/travel/Kuala-Lumpur-Hotel-Transfer/Desaru-Hotel-Transfer", "12Go Link")</f>
        <v>12Go Link</v>
      </c>
      <c r="E3683" s="2" t="s">
        <v>3754</v>
      </c>
    </row>
    <row r="3684">
      <c r="A3684" s="2" t="s">
        <v>4161</v>
      </c>
      <c r="B3684" s="2" t="s">
        <v>4170</v>
      </c>
      <c r="C3684" s="2" t="s">
        <v>4173</v>
      </c>
      <c r="D3684" s="3" t="str">
        <f t="shared" si="364"/>
        <v>12Go Link</v>
      </c>
      <c r="E3684" s="2" t="s">
        <v>2006</v>
      </c>
    </row>
    <row r="3685">
      <c r="A3685" s="2" t="s">
        <v>4161</v>
      </c>
      <c r="B3685" s="2" t="s">
        <v>4170</v>
      </c>
      <c r="C3685" s="2" t="s">
        <v>4173</v>
      </c>
      <c r="D3685" s="3" t="str">
        <f t="shared" si="364"/>
        <v>12Go Link</v>
      </c>
      <c r="E3685" s="2" t="s">
        <v>13</v>
      </c>
    </row>
    <row r="3686">
      <c r="A3686" s="2" t="s">
        <v>4161</v>
      </c>
      <c r="B3686" s="2" t="s">
        <v>4174</v>
      </c>
      <c r="C3686" s="2" t="s">
        <v>4175</v>
      </c>
      <c r="D3686" s="3" t="str">
        <f t="shared" ref="D3686:D3688" si="365">HYPERLINK("https://12go.asia/en/travel/Kuala-Lumpur-Airport/Johor-Bahru", "12Go Link")</f>
        <v>12Go Link</v>
      </c>
      <c r="E3686" s="2" t="s">
        <v>3754</v>
      </c>
    </row>
    <row r="3687">
      <c r="A3687" s="2" t="s">
        <v>4161</v>
      </c>
      <c r="B3687" s="2" t="s">
        <v>4174</v>
      </c>
      <c r="C3687" s="2" t="s">
        <v>4175</v>
      </c>
      <c r="D3687" s="3" t="str">
        <f t="shared" si="365"/>
        <v>12Go Link</v>
      </c>
      <c r="E3687" s="2" t="s">
        <v>2006</v>
      </c>
    </row>
    <row r="3688">
      <c r="A3688" s="2" t="s">
        <v>4161</v>
      </c>
      <c r="B3688" s="2" t="s">
        <v>4174</v>
      </c>
      <c r="C3688" s="2" t="s">
        <v>4175</v>
      </c>
      <c r="D3688" s="3" t="str">
        <f t="shared" si="365"/>
        <v>12Go Link</v>
      </c>
      <c r="E3688" s="2" t="s">
        <v>13</v>
      </c>
    </row>
    <row r="3689">
      <c r="A3689" s="2" t="s">
        <v>4161</v>
      </c>
      <c r="B3689" s="2" t="s">
        <v>4174</v>
      </c>
      <c r="C3689" s="2" t="s">
        <v>4176</v>
      </c>
      <c r="D3689" s="3" t="str">
        <f t="shared" ref="D3689:D3691" si="366">HYPERLINK("https://12go.asia/en/travel/Kuala-Lumpur-City-Hotel-Transfer/Johor-Bahru", "12Go Link")</f>
        <v>12Go Link</v>
      </c>
      <c r="E3689" s="2" t="s">
        <v>3754</v>
      </c>
    </row>
    <row r="3690">
      <c r="A3690" s="2" t="s">
        <v>4161</v>
      </c>
      <c r="B3690" s="2" t="s">
        <v>4174</v>
      </c>
      <c r="C3690" s="2" t="s">
        <v>4176</v>
      </c>
      <c r="D3690" s="3" t="str">
        <f t="shared" si="366"/>
        <v>12Go Link</v>
      </c>
      <c r="E3690" s="2" t="s">
        <v>2006</v>
      </c>
    </row>
    <row r="3691">
      <c r="A3691" s="2" t="s">
        <v>4161</v>
      </c>
      <c r="B3691" s="2" t="s">
        <v>4174</v>
      </c>
      <c r="C3691" s="2" t="s">
        <v>4176</v>
      </c>
      <c r="D3691" s="3" t="str">
        <f t="shared" si="366"/>
        <v>12Go Link</v>
      </c>
      <c r="E3691" s="2" t="s">
        <v>13</v>
      </c>
    </row>
    <row r="3692">
      <c r="A3692" s="2" t="s">
        <v>4161</v>
      </c>
      <c r="B3692" s="2" t="s">
        <v>4161</v>
      </c>
      <c r="C3692" s="2" t="s">
        <v>4177</v>
      </c>
      <c r="D3692" s="3" t="str">
        <f t="shared" ref="D3692:D3694" si="367">HYPERLINK("https://12go.asia/en/travel/Kuala-Lumpur-Airport/Kuala-Lumpur-City-Hotel-Transfer", "12Go Link")</f>
        <v>12Go Link</v>
      </c>
      <c r="E3692" s="2" t="s">
        <v>3754</v>
      </c>
    </row>
    <row r="3693">
      <c r="A3693" s="2" t="s">
        <v>4161</v>
      </c>
      <c r="B3693" s="2" t="s">
        <v>4161</v>
      </c>
      <c r="C3693" s="2" t="s">
        <v>4177</v>
      </c>
      <c r="D3693" s="3" t="str">
        <f t="shared" si="367"/>
        <v>12Go Link</v>
      </c>
      <c r="E3693" s="2" t="s">
        <v>2006</v>
      </c>
    </row>
    <row r="3694">
      <c r="A3694" s="2" t="s">
        <v>4161</v>
      </c>
      <c r="B3694" s="2" t="s">
        <v>4161</v>
      </c>
      <c r="C3694" s="2" t="s">
        <v>4177</v>
      </c>
      <c r="D3694" s="3" t="str">
        <f t="shared" si="367"/>
        <v>12Go Link</v>
      </c>
      <c r="E3694" s="2" t="s">
        <v>13</v>
      </c>
    </row>
    <row r="3695">
      <c r="A3695" s="2" t="s">
        <v>4161</v>
      </c>
      <c r="B3695" s="2" t="s">
        <v>4161</v>
      </c>
      <c r="C3695" s="2" t="s">
        <v>4178</v>
      </c>
      <c r="D3695" s="3" t="str">
        <f t="shared" ref="D3695:D3697" si="368">HYPERLINK("https://12go.asia/en/travel/Kuala-Lumpur-City-Hotel-Transfer/Kuala-Lumpur-City-Bus-Station", "12Go Link")</f>
        <v>12Go Link</v>
      </c>
      <c r="E3695" s="2" t="s">
        <v>3754</v>
      </c>
    </row>
    <row r="3696">
      <c r="A3696" s="2" t="s">
        <v>4161</v>
      </c>
      <c r="B3696" s="2" t="s">
        <v>4161</v>
      </c>
      <c r="C3696" s="2" t="s">
        <v>4178</v>
      </c>
      <c r="D3696" s="3" t="str">
        <f t="shared" si="368"/>
        <v>12Go Link</v>
      </c>
      <c r="E3696" s="2" t="s">
        <v>2006</v>
      </c>
    </row>
    <row r="3697">
      <c r="A3697" s="2" t="s">
        <v>4161</v>
      </c>
      <c r="B3697" s="2" t="s">
        <v>4161</v>
      </c>
      <c r="C3697" s="2" t="s">
        <v>4178</v>
      </c>
      <c r="D3697" s="3" t="str">
        <f t="shared" si="368"/>
        <v>12Go Link</v>
      </c>
      <c r="E3697" s="2" t="s">
        <v>13</v>
      </c>
    </row>
    <row r="3698">
      <c r="A3698" s="2" t="s">
        <v>4161</v>
      </c>
      <c r="B3698" s="2" t="s">
        <v>4179</v>
      </c>
      <c r="C3698" s="2" t="s">
        <v>4180</v>
      </c>
      <c r="D3698" s="3" t="str">
        <f t="shared" ref="D3698:D3700" si="369">HYPERLINK("https://12go.asia/en/travel/Kuala-Lumpur-Airport/AFamosa-Resort", "12Go Link")</f>
        <v>12Go Link</v>
      </c>
      <c r="E3698" s="2" t="s">
        <v>3754</v>
      </c>
    </row>
    <row r="3699">
      <c r="A3699" s="2" t="s">
        <v>4161</v>
      </c>
      <c r="B3699" s="2" t="s">
        <v>4179</v>
      </c>
      <c r="C3699" s="2" t="s">
        <v>4180</v>
      </c>
      <c r="D3699" s="3" t="str">
        <f t="shared" si="369"/>
        <v>12Go Link</v>
      </c>
      <c r="E3699" s="2" t="s">
        <v>2006</v>
      </c>
    </row>
    <row r="3700">
      <c r="A3700" s="2" t="s">
        <v>4161</v>
      </c>
      <c r="B3700" s="2" t="s">
        <v>4179</v>
      </c>
      <c r="C3700" s="2" t="s">
        <v>4180</v>
      </c>
      <c r="D3700" s="3" t="str">
        <f t="shared" si="369"/>
        <v>12Go Link</v>
      </c>
      <c r="E3700" s="2" t="s">
        <v>13</v>
      </c>
    </row>
    <row r="3701">
      <c r="A3701" s="2" t="s">
        <v>4161</v>
      </c>
      <c r="B3701" s="2" t="s">
        <v>4179</v>
      </c>
      <c r="C3701" s="2" t="s">
        <v>4181</v>
      </c>
      <c r="D3701" s="3" t="str">
        <f t="shared" ref="D3701:D3703" si="370">HYPERLINK("https://12go.asia/en/travel/Kuala-Lumpur-Airport/Malacca-Hotel-Transfer", "12Go Link")</f>
        <v>12Go Link</v>
      </c>
      <c r="E3701" s="2" t="s">
        <v>3754</v>
      </c>
    </row>
    <row r="3702">
      <c r="A3702" s="2" t="s">
        <v>4161</v>
      </c>
      <c r="B3702" s="2" t="s">
        <v>4179</v>
      </c>
      <c r="C3702" s="2" t="s">
        <v>4181</v>
      </c>
      <c r="D3702" s="3" t="str">
        <f t="shared" si="370"/>
        <v>12Go Link</v>
      </c>
      <c r="E3702" s="2" t="s">
        <v>2006</v>
      </c>
    </row>
    <row r="3703">
      <c r="A3703" s="2" t="s">
        <v>4161</v>
      </c>
      <c r="B3703" s="2" t="s">
        <v>4179</v>
      </c>
      <c r="C3703" s="2" t="s">
        <v>4181</v>
      </c>
      <c r="D3703" s="3" t="str">
        <f t="shared" si="370"/>
        <v>12Go Link</v>
      </c>
      <c r="E3703" s="2" t="s">
        <v>13</v>
      </c>
    </row>
    <row r="3704">
      <c r="A3704" s="2" t="s">
        <v>4161</v>
      </c>
      <c r="B3704" s="2" t="s">
        <v>4179</v>
      </c>
      <c r="C3704" s="2" t="s">
        <v>4182</v>
      </c>
      <c r="D3704" s="3" t="str">
        <f t="shared" ref="D3704:D3706" si="371">HYPERLINK("https://12go.asia/en/travel/Kuala-Lumpur-City-Hotel-Transfer/AFamosa-Resort", "12Go Link")</f>
        <v>12Go Link</v>
      </c>
      <c r="E3704" s="2" t="s">
        <v>3754</v>
      </c>
    </row>
    <row r="3705">
      <c r="A3705" s="2" t="s">
        <v>4161</v>
      </c>
      <c r="B3705" s="2" t="s">
        <v>4179</v>
      </c>
      <c r="C3705" s="2" t="s">
        <v>4182</v>
      </c>
      <c r="D3705" s="3" t="str">
        <f t="shared" si="371"/>
        <v>12Go Link</v>
      </c>
      <c r="E3705" s="2" t="s">
        <v>2006</v>
      </c>
    </row>
    <row r="3706">
      <c r="A3706" s="2" t="s">
        <v>4161</v>
      </c>
      <c r="B3706" s="2" t="s">
        <v>4179</v>
      </c>
      <c r="C3706" s="2" t="s">
        <v>4182</v>
      </c>
      <c r="D3706" s="3" t="str">
        <f t="shared" si="371"/>
        <v>12Go Link</v>
      </c>
      <c r="E3706" s="2" t="s">
        <v>13</v>
      </c>
    </row>
    <row r="3707">
      <c r="A3707" s="2" t="s">
        <v>4161</v>
      </c>
      <c r="B3707" s="2" t="s">
        <v>4179</v>
      </c>
      <c r="C3707" s="2" t="s">
        <v>4183</v>
      </c>
      <c r="D3707" s="3" t="str">
        <f t="shared" ref="D3707:D3709" si="372">HYPERLINK("https://12go.asia/en/travel/Kuala-Lumpur-City-Hotel-Transfer/Malacca-Hotel-Transfer", "12Go Link")</f>
        <v>12Go Link</v>
      </c>
      <c r="E3707" s="2" t="s">
        <v>3754</v>
      </c>
    </row>
    <row r="3708">
      <c r="A3708" s="2" t="s">
        <v>4161</v>
      </c>
      <c r="B3708" s="2" t="s">
        <v>4179</v>
      </c>
      <c r="C3708" s="2" t="s">
        <v>4183</v>
      </c>
      <c r="D3708" s="3" t="str">
        <f t="shared" si="372"/>
        <v>12Go Link</v>
      </c>
      <c r="E3708" s="2" t="s">
        <v>2006</v>
      </c>
    </row>
    <row r="3709">
      <c r="A3709" s="2" t="s">
        <v>4161</v>
      </c>
      <c r="B3709" s="2" t="s">
        <v>4179</v>
      </c>
      <c r="C3709" s="2" t="s">
        <v>4183</v>
      </c>
      <c r="D3709" s="3" t="str">
        <f t="shared" si="372"/>
        <v>12Go Link</v>
      </c>
      <c r="E3709" s="2" t="s">
        <v>13</v>
      </c>
    </row>
    <row r="3710">
      <c r="A3710" s="2" t="s">
        <v>4161</v>
      </c>
      <c r="B3710" s="2" t="s">
        <v>4179</v>
      </c>
      <c r="C3710" s="2" t="s">
        <v>4184</v>
      </c>
      <c r="D3710" s="3" t="str">
        <f t="shared" ref="D3710:D3712" si="373">HYPERLINK("https://12go.asia/en/travel/Kuala-Lumpur-Hotel-Transfer/Malacca-Hotel-Transfer", "12Go Link")</f>
        <v>12Go Link</v>
      </c>
      <c r="E3710" s="2" t="s">
        <v>3754</v>
      </c>
    </row>
    <row r="3711">
      <c r="A3711" s="2" t="s">
        <v>4161</v>
      </c>
      <c r="B3711" s="2" t="s">
        <v>4179</v>
      </c>
      <c r="C3711" s="2" t="s">
        <v>4184</v>
      </c>
      <c r="D3711" s="3" t="str">
        <f t="shared" si="373"/>
        <v>12Go Link</v>
      </c>
      <c r="E3711" s="2" t="s">
        <v>2006</v>
      </c>
    </row>
    <row r="3712">
      <c r="A3712" s="2" t="s">
        <v>4161</v>
      </c>
      <c r="B3712" s="2" t="s">
        <v>4179</v>
      </c>
      <c r="C3712" s="2" t="s">
        <v>4184</v>
      </c>
      <c r="D3712" s="3" t="str">
        <f t="shared" si="373"/>
        <v>12Go Link</v>
      </c>
      <c r="E3712" s="2" t="s">
        <v>13</v>
      </c>
    </row>
    <row r="3713">
      <c r="A3713" s="2" t="s">
        <v>4161</v>
      </c>
      <c r="B3713" s="2" t="s">
        <v>4185</v>
      </c>
      <c r="C3713" s="2" t="s">
        <v>4186</v>
      </c>
      <c r="D3713" s="3" t="str">
        <f t="shared" ref="D3713:D3715" si="374">HYPERLINK("https://12go.asia/en/travel/Kuala-Lumpur-City-Hotel-Transfer/Penang-Hotel-Transfer", "12Go Link")</f>
        <v>12Go Link</v>
      </c>
      <c r="E3713" s="2" t="s">
        <v>3754</v>
      </c>
    </row>
    <row r="3714">
      <c r="A3714" s="2" t="s">
        <v>4161</v>
      </c>
      <c r="B3714" s="2" t="s">
        <v>4185</v>
      </c>
      <c r="C3714" s="2" t="s">
        <v>4186</v>
      </c>
      <c r="D3714" s="3" t="str">
        <f t="shared" si="374"/>
        <v>12Go Link</v>
      </c>
      <c r="E3714" s="2" t="s">
        <v>2006</v>
      </c>
    </row>
    <row r="3715">
      <c r="A3715" s="2" t="s">
        <v>4161</v>
      </c>
      <c r="B3715" s="2" t="s">
        <v>4185</v>
      </c>
      <c r="C3715" s="2" t="s">
        <v>4186</v>
      </c>
      <c r="D3715" s="3" t="str">
        <f t="shared" si="374"/>
        <v>12Go Link</v>
      </c>
      <c r="E3715" s="2" t="s">
        <v>13</v>
      </c>
    </row>
    <row r="3716">
      <c r="A3716" s="2" t="s">
        <v>4161</v>
      </c>
      <c r="B3716" s="2" t="s">
        <v>4187</v>
      </c>
      <c r="C3716" s="2" t="s">
        <v>4188</v>
      </c>
      <c r="D3716" s="3" t="str">
        <f t="shared" ref="D3716:D3718" si="375">HYPERLINK("https://12go.asia/en/travel/Kuala-Lumpur-Airport/Port-Dickson", "12Go Link")</f>
        <v>12Go Link</v>
      </c>
      <c r="E3716" s="2" t="s">
        <v>3754</v>
      </c>
    </row>
    <row r="3717">
      <c r="A3717" s="2" t="s">
        <v>4161</v>
      </c>
      <c r="B3717" s="2" t="s">
        <v>4187</v>
      </c>
      <c r="C3717" s="2" t="s">
        <v>4188</v>
      </c>
      <c r="D3717" s="3" t="str">
        <f t="shared" si="375"/>
        <v>12Go Link</v>
      </c>
      <c r="E3717" s="2" t="s">
        <v>2006</v>
      </c>
    </row>
    <row r="3718">
      <c r="A3718" s="2" t="s">
        <v>4161</v>
      </c>
      <c r="B3718" s="2" t="s">
        <v>4187</v>
      </c>
      <c r="C3718" s="2" t="s">
        <v>4188</v>
      </c>
      <c r="D3718" s="3" t="str">
        <f t="shared" si="375"/>
        <v>12Go Link</v>
      </c>
      <c r="E3718" s="2" t="s">
        <v>13</v>
      </c>
    </row>
    <row r="3719">
      <c r="A3719" s="2" t="s">
        <v>4161</v>
      </c>
      <c r="B3719" s="2" t="s">
        <v>4187</v>
      </c>
      <c r="C3719" s="2" t="s">
        <v>4189</v>
      </c>
      <c r="D3719" s="3" t="str">
        <f t="shared" ref="D3719:D3721" si="376">HYPERLINK("https://12go.asia/en/travel/Kuala-Lumpur-City-Hotel-Transfer/Port-Dickson", "12Go Link")</f>
        <v>12Go Link</v>
      </c>
      <c r="E3719" s="2" t="s">
        <v>3754</v>
      </c>
    </row>
    <row r="3720">
      <c r="A3720" s="2" t="s">
        <v>4161</v>
      </c>
      <c r="B3720" s="2" t="s">
        <v>4187</v>
      </c>
      <c r="C3720" s="2" t="s">
        <v>4189</v>
      </c>
      <c r="D3720" s="3" t="str">
        <f t="shared" si="376"/>
        <v>12Go Link</v>
      </c>
      <c r="E3720" s="2" t="s">
        <v>2006</v>
      </c>
    </row>
    <row r="3721">
      <c r="A3721" s="2" t="s">
        <v>4161</v>
      </c>
      <c r="B3721" s="2" t="s">
        <v>4187</v>
      </c>
      <c r="C3721" s="2" t="s">
        <v>4189</v>
      </c>
      <c r="D3721" s="3" t="str">
        <f t="shared" si="376"/>
        <v>12Go Link</v>
      </c>
      <c r="E3721" s="2" t="s">
        <v>13</v>
      </c>
    </row>
    <row r="3722">
      <c r="A3722" s="2" t="s">
        <v>4161</v>
      </c>
      <c r="B3722" s="2" t="s">
        <v>4190</v>
      </c>
      <c r="C3722" s="2" t="s">
        <v>4191</v>
      </c>
      <c r="D3722" s="3" t="str">
        <f t="shared" ref="D3722:D3724" si="377">HYPERLINK("https://12go.asia/en/travel/Kuala-Lumpur-Airport/Bandar-Sunway-Transfer", "12Go Link")</f>
        <v>12Go Link</v>
      </c>
      <c r="E3722" s="2" t="s">
        <v>3754</v>
      </c>
    </row>
    <row r="3723">
      <c r="A3723" s="2" t="s">
        <v>4161</v>
      </c>
      <c r="B3723" s="2" t="s">
        <v>4190</v>
      </c>
      <c r="C3723" s="2" t="s">
        <v>4191</v>
      </c>
      <c r="D3723" s="3" t="str">
        <f t="shared" si="377"/>
        <v>12Go Link</v>
      </c>
      <c r="E3723" s="2" t="s">
        <v>2006</v>
      </c>
    </row>
    <row r="3724">
      <c r="A3724" s="2" t="s">
        <v>4161</v>
      </c>
      <c r="B3724" s="2" t="s">
        <v>4190</v>
      </c>
      <c r="C3724" s="2" t="s">
        <v>4191</v>
      </c>
      <c r="D3724" s="3" t="str">
        <f t="shared" si="377"/>
        <v>12Go Link</v>
      </c>
      <c r="E3724" s="2" t="s">
        <v>13</v>
      </c>
    </row>
    <row r="3725">
      <c r="A3725" s="2" t="s">
        <v>4161</v>
      </c>
      <c r="B3725" s="2" t="s">
        <v>4190</v>
      </c>
      <c r="C3725" s="2" t="s">
        <v>4192</v>
      </c>
      <c r="D3725" s="3" t="str">
        <f t="shared" ref="D3725:D3727" si="378">HYPERLINK("https://12go.asia/en/travel/Kuala-Lumpur-Airport/Petaling-Jaya-Transfer", "12Go Link")</f>
        <v>12Go Link</v>
      </c>
      <c r="E3725" s="2" t="s">
        <v>3754</v>
      </c>
    </row>
    <row r="3726">
      <c r="A3726" s="2" t="s">
        <v>4161</v>
      </c>
      <c r="B3726" s="2" t="s">
        <v>4190</v>
      </c>
      <c r="C3726" s="2" t="s">
        <v>4192</v>
      </c>
      <c r="D3726" s="3" t="str">
        <f t="shared" si="378"/>
        <v>12Go Link</v>
      </c>
      <c r="E3726" s="2" t="s">
        <v>2006</v>
      </c>
    </row>
    <row r="3727">
      <c r="A3727" s="2" t="s">
        <v>4161</v>
      </c>
      <c r="B3727" s="2" t="s">
        <v>4190</v>
      </c>
      <c r="C3727" s="2" t="s">
        <v>4192</v>
      </c>
      <c r="D3727" s="3" t="str">
        <f t="shared" si="378"/>
        <v>12Go Link</v>
      </c>
      <c r="E3727" s="2" t="s">
        <v>13</v>
      </c>
    </row>
    <row r="3728">
      <c r="A3728" s="2" t="s">
        <v>4161</v>
      </c>
      <c r="B3728" s="2" t="s">
        <v>4190</v>
      </c>
      <c r="C3728" s="2" t="s">
        <v>4193</v>
      </c>
      <c r="D3728" s="3" t="str">
        <f t="shared" ref="D3728:D3730" si="379">HYPERLINK("https://12go.asia/en/travel/Kuala-Lumpur-City-Hotel-Transfer/Bandar-Sunway-Transfer", "12Go Link")</f>
        <v>12Go Link</v>
      </c>
      <c r="E3728" s="2" t="s">
        <v>3754</v>
      </c>
    </row>
    <row r="3729">
      <c r="A3729" s="2" t="s">
        <v>4161</v>
      </c>
      <c r="B3729" s="2" t="s">
        <v>4190</v>
      </c>
      <c r="C3729" s="2" t="s">
        <v>4193</v>
      </c>
      <c r="D3729" s="3" t="str">
        <f t="shared" si="379"/>
        <v>12Go Link</v>
      </c>
      <c r="E3729" s="2" t="s">
        <v>2006</v>
      </c>
    </row>
    <row r="3730">
      <c r="A3730" s="2" t="s">
        <v>4161</v>
      </c>
      <c r="B3730" s="2" t="s">
        <v>4190</v>
      </c>
      <c r="C3730" s="2" t="s">
        <v>4193</v>
      </c>
      <c r="D3730" s="3" t="str">
        <f t="shared" si="379"/>
        <v>12Go Link</v>
      </c>
      <c r="E3730" s="2" t="s">
        <v>13</v>
      </c>
    </row>
    <row r="3731">
      <c r="A3731" s="2" t="s">
        <v>4161</v>
      </c>
      <c r="B3731" s="2" t="s">
        <v>4190</v>
      </c>
      <c r="C3731" s="2" t="s">
        <v>4194</v>
      </c>
      <c r="D3731" s="3" t="str">
        <f t="shared" ref="D3731:D3733" si="380">HYPERLINK("https://12go.asia/en/travel/Kuala-Lumpur-City-Hotel-Transfer/Petaling-Jaya-Transfer", "12Go Link")</f>
        <v>12Go Link</v>
      </c>
      <c r="E3731" s="2" t="s">
        <v>3754</v>
      </c>
    </row>
    <row r="3732">
      <c r="A3732" s="2" t="s">
        <v>4161</v>
      </c>
      <c r="B3732" s="2" t="s">
        <v>4190</v>
      </c>
      <c r="C3732" s="2" t="s">
        <v>4194</v>
      </c>
      <c r="D3732" s="3" t="str">
        <f t="shared" si="380"/>
        <v>12Go Link</v>
      </c>
      <c r="E3732" s="2" t="s">
        <v>2006</v>
      </c>
    </row>
    <row r="3733">
      <c r="A3733" s="2" t="s">
        <v>4161</v>
      </c>
      <c r="B3733" s="2" t="s">
        <v>4190</v>
      </c>
      <c r="C3733" s="2" t="s">
        <v>4194</v>
      </c>
      <c r="D3733" s="3" t="str">
        <f t="shared" si="380"/>
        <v>12Go Link</v>
      </c>
      <c r="E3733" s="2" t="s">
        <v>13</v>
      </c>
    </row>
    <row r="3734">
      <c r="A3734" s="2" t="s">
        <v>4161</v>
      </c>
      <c r="B3734" s="2" t="s">
        <v>4195</v>
      </c>
      <c r="C3734" s="2" t="s">
        <v>4196</v>
      </c>
      <c r="D3734" s="3" t="str">
        <f>HYPERLINK("https://12go.asia/en/travel/berjaya-times-square/skudai", "12Go Link")</f>
        <v>12Go Link</v>
      </c>
      <c r="E3734" s="2" t="s">
        <v>25</v>
      </c>
    </row>
    <row r="3735">
      <c r="A3735" s="2" t="s">
        <v>4161</v>
      </c>
      <c r="B3735" s="2" t="s">
        <v>4197</v>
      </c>
      <c r="C3735" s="2" t="s">
        <v>4198</v>
      </c>
      <c r="D3735" s="3" t="str">
        <f t="shared" ref="D3735:D3737" si="381">HYPERLINK("https://12go.asia/en/travel/Kuala-Lumpur-City-Hotel-Transfer/Kuala-Tahan-Taman-Negara", "12Go Link")</f>
        <v>12Go Link</v>
      </c>
      <c r="E3735" s="2" t="s">
        <v>3754</v>
      </c>
    </row>
    <row r="3736">
      <c r="A3736" s="2" t="s">
        <v>4161</v>
      </c>
      <c r="B3736" s="2" t="s">
        <v>4197</v>
      </c>
      <c r="C3736" s="2" t="s">
        <v>4198</v>
      </c>
      <c r="D3736" s="3" t="str">
        <f t="shared" si="381"/>
        <v>12Go Link</v>
      </c>
      <c r="E3736" s="2" t="s">
        <v>2006</v>
      </c>
    </row>
    <row r="3737">
      <c r="A3737" s="2" t="s">
        <v>4161</v>
      </c>
      <c r="B3737" s="2" t="s">
        <v>4197</v>
      </c>
      <c r="C3737" s="2" t="s">
        <v>4198</v>
      </c>
      <c r="D3737" s="3" t="str">
        <f t="shared" si="381"/>
        <v>12Go Link</v>
      </c>
      <c r="E3737" s="2" t="s">
        <v>13</v>
      </c>
    </row>
    <row r="3738">
      <c r="A3738" s="2" t="s">
        <v>4161</v>
      </c>
      <c r="B3738" s="2" t="s">
        <v>4199</v>
      </c>
      <c r="C3738" s="2" t="s">
        <v>4200</v>
      </c>
      <c r="D3738" s="3" t="str">
        <f t="shared" ref="D3738:D3740" si="382">HYPERLINK("https://12go.asia/en/travel/Kuala-Lumpur-Hotel-Transfer/Singapore-Hotel-Transfer", "12Go Link")</f>
        <v>12Go Link</v>
      </c>
      <c r="E3738" s="2" t="s">
        <v>3754</v>
      </c>
    </row>
    <row r="3739">
      <c r="A3739" s="2" t="s">
        <v>4161</v>
      </c>
      <c r="B3739" s="2" t="s">
        <v>4199</v>
      </c>
      <c r="C3739" s="2" t="s">
        <v>4200</v>
      </c>
      <c r="D3739" s="3" t="str">
        <f t="shared" si="382"/>
        <v>12Go Link</v>
      </c>
      <c r="E3739" s="2" t="s">
        <v>2006</v>
      </c>
    </row>
    <row r="3740">
      <c r="A3740" s="2" t="s">
        <v>4161</v>
      </c>
      <c r="B3740" s="2" t="s">
        <v>4199</v>
      </c>
      <c r="C3740" s="2" t="s">
        <v>4200</v>
      </c>
      <c r="D3740" s="3" t="str">
        <f t="shared" si="382"/>
        <v>12Go Link</v>
      </c>
      <c r="E3740" s="2" t="s">
        <v>13</v>
      </c>
    </row>
    <row r="3741">
      <c r="A3741" s="2" t="s">
        <v>4161</v>
      </c>
      <c r="B3741" s="2" t="s">
        <v>4199</v>
      </c>
      <c r="C3741" s="2" t="s">
        <v>4201</v>
      </c>
      <c r="D3741" s="3" t="str">
        <f>HYPERLINK("https://12go.asia/en/travel/swiss-garden-hotel/harbourfront", "12Go Link")</f>
        <v>12Go Link</v>
      </c>
      <c r="E3741" s="2" t="s">
        <v>25</v>
      </c>
    </row>
    <row r="3742">
      <c r="A3742" s="2" t="s">
        <v>4161</v>
      </c>
      <c r="B3742" s="2" t="s">
        <v>4199</v>
      </c>
      <c r="C3742" s="2" t="s">
        <v>4202</v>
      </c>
      <c r="D3742" s="3" t="str">
        <f>HYPERLINK("https://12go.asia/en/travel/swiss-garden-hotel/jurong-east-bus-mrt-interchange", "12Go Link")</f>
        <v>12Go Link</v>
      </c>
      <c r="E3742" s="2" t="s">
        <v>25</v>
      </c>
    </row>
    <row r="3743">
      <c r="A3743" s="2" t="s">
        <v>4161</v>
      </c>
      <c r="B3743" s="2" t="s">
        <v>4199</v>
      </c>
      <c r="C3743" s="2" t="s">
        <v>4203</v>
      </c>
      <c r="D3743" s="3" t="str">
        <f>HYPERLINK("https://12go.asia/en/travel/swiss-garden-hotel/kovan-hub-206", "12Go Link")</f>
        <v>12Go Link</v>
      </c>
      <c r="E3743" s="2" t="s">
        <v>25</v>
      </c>
    </row>
    <row r="3744">
      <c r="A3744" s="2" t="s">
        <v>4161</v>
      </c>
      <c r="B3744" s="2" t="s">
        <v>4204</v>
      </c>
      <c r="C3744" s="2" t="s">
        <v>4205</v>
      </c>
      <c r="D3744" s="3" t="str">
        <f t="shared" ref="D3744:D3746" si="383">HYPERLINK("https://12go.asia/en/travel/Kuala-Lumpur-Hotel-Transfer/Hat-Yai-Hotel-Transfer", "12Go Link")</f>
        <v>12Go Link</v>
      </c>
      <c r="E3744" s="2" t="s">
        <v>3754</v>
      </c>
    </row>
    <row r="3745">
      <c r="A3745" s="2" t="s">
        <v>4161</v>
      </c>
      <c r="B3745" s="2" t="s">
        <v>4204</v>
      </c>
      <c r="C3745" s="2" t="s">
        <v>4205</v>
      </c>
      <c r="D3745" s="3" t="str">
        <f t="shared" si="383"/>
        <v>12Go Link</v>
      </c>
      <c r="E3745" s="2" t="s">
        <v>2006</v>
      </c>
    </row>
    <row r="3746">
      <c r="A3746" s="2" t="s">
        <v>4161</v>
      </c>
      <c r="B3746" s="2" t="s">
        <v>4204</v>
      </c>
      <c r="C3746" s="2" t="s">
        <v>4205</v>
      </c>
      <c r="D3746" s="3" t="str">
        <f t="shared" si="383"/>
        <v>12Go Link</v>
      </c>
      <c r="E3746" s="2" t="s">
        <v>13</v>
      </c>
    </row>
    <row r="3747">
      <c r="A3747" s="2" t="s">
        <v>4206</v>
      </c>
      <c r="B3747" s="2" t="s">
        <v>2425</v>
      </c>
      <c r="C3747" s="2" t="s">
        <v>4207</v>
      </c>
      <c r="D3747" s="3" t="str">
        <f>HYPERLINK("https://12go.asia/en/travel/kuala-lumpur-sentral/angamaly", "12Go Link")</f>
        <v>12Go Link</v>
      </c>
      <c r="E3747" s="2" t="s">
        <v>60</v>
      </c>
    </row>
    <row r="3748">
      <c r="A3748" s="2" t="s">
        <v>4206</v>
      </c>
      <c r="B3748" s="2" t="s">
        <v>2516</v>
      </c>
      <c r="C3748" s="2" t="s">
        <v>4208</v>
      </c>
      <c r="D3748" s="3" t="str">
        <f>HYPERLINK("https://12go.asia/en/travel/kuala-lumpur-sentral/bangalore", "12Go Link")</f>
        <v>12Go Link</v>
      </c>
      <c r="E3748" s="2" t="s">
        <v>60</v>
      </c>
    </row>
    <row r="3749">
      <c r="A3749" s="2" t="s">
        <v>4206</v>
      </c>
      <c r="B3749" s="2" t="s">
        <v>4209</v>
      </c>
      <c r="C3749" s="2" t="s">
        <v>4210</v>
      </c>
      <c r="D3749" s="3" t="str">
        <f>HYPERLINK("https://12go.asia/en/travel/kuala-lumpur-sentral/bekasi", "12Go Link")</f>
        <v>12Go Link</v>
      </c>
      <c r="E3749" s="2" t="s">
        <v>60</v>
      </c>
    </row>
    <row r="3750">
      <c r="A3750" s="2" t="s">
        <v>4179</v>
      </c>
      <c r="B3750" s="2" t="s">
        <v>4199</v>
      </c>
      <c r="C3750" s="2" t="s">
        <v>4211</v>
      </c>
      <c r="D3750" s="3" t="str">
        <f>HYPERLINK("https://12go.asia/en/travel/melaka-sentral/harbourfront", "12Go Link")</f>
        <v>12Go Link</v>
      </c>
      <c r="E3750" s="2" t="s">
        <v>25</v>
      </c>
    </row>
    <row r="3751">
      <c r="A3751" s="2" t="s">
        <v>4179</v>
      </c>
      <c r="B3751" s="2" t="s">
        <v>4199</v>
      </c>
      <c r="C3751" s="2" t="s">
        <v>4212</v>
      </c>
      <c r="D3751" s="3" t="str">
        <f>HYPERLINK("https://12go.asia/en/travel/melaka-sentral/jurong-east-bus-mrt-interchange", "12Go Link")</f>
        <v>12Go Link</v>
      </c>
      <c r="E3751" s="2" t="s">
        <v>25</v>
      </c>
    </row>
    <row r="3752">
      <c r="A3752" s="2" t="s">
        <v>4185</v>
      </c>
      <c r="B3752" s="2" t="s">
        <v>4163</v>
      </c>
      <c r="C3752" s="2" t="s">
        <v>4213</v>
      </c>
      <c r="D3752" s="3" t="str">
        <f t="shared" ref="D3752:D3754" si="384">HYPERLINK("https://12go.asia/en/travel/Penang-Hotel-Transfer/Cameron-Highlands-Hotel-Transfer", "12Go Link")</f>
        <v>12Go Link</v>
      </c>
      <c r="E3752" s="2" t="s">
        <v>3754</v>
      </c>
    </row>
    <row r="3753">
      <c r="A3753" s="2" t="s">
        <v>4185</v>
      </c>
      <c r="B3753" s="2" t="s">
        <v>4163</v>
      </c>
      <c r="C3753" s="2" t="s">
        <v>4213</v>
      </c>
      <c r="D3753" s="3" t="str">
        <f t="shared" si="384"/>
        <v>12Go Link</v>
      </c>
      <c r="E3753" s="2" t="s">
        <v>2006</v>
      </c>
    </row>
    <row r="3754">
      <c r="A3754" s="2" t="s">
        <v>4185</v>
      </c>
      <c r="B3754" s="2" t="s">
        <v>4163</v>
      </c>
      <c r="C3754" s="2" t="s">
        <v>4213</v>
      </c>
      <c r="D3754" s="3" t="str">
        <f t="shared" si="384"/>
        <v>12Go Link</v>
      </c>
      <c r="E3754" s="2" t="s">
        <v>13</v>
      </c>
    </row>
    <row r="3755">
      <c r="A3755" s="2" t="s">
        <v>4185</v>
      </c>
      <c r="B3755" s="2" t="s">
        <v>4165</v>
      </c>
      <c r="C3755" s="2" t="s">
        <v>4214</v>
      </c>
      <c r="D3755" s="3" t="str">
        <f t="shared" ref="D3755:D3757" si="385">HYPERLINK("https://12go.asia/en/travel/Penang-Hotel-Transfer/Genting-Highlands-Hotel-Transfer", "12Go Link")</f>
        <v>12Go Link</v>
      </c>
      <c r="E3755" s="2" t="s">
        <v>3754</v>
      </c>
    </row>
    <row r="3756">
      <c r="A3756" s="2" t="s">
        <v>4185</v>
      </c>
      <c r="B3756" s="2" t="s">
        <v>4165</v>
      </c>
      <c r="C3756" s="2" t="s">
        <v>4214</v>
      </c>
      <c r="D3756" s="3" t="str">
        <f t="shared" si="385"/>
        <v>12Go Link</v>
      </c>
      <c r="E3756" s="2" t="s">
        <v>2006</v>
      </c>
    </row>
    <row r="3757">
      <c r="A3757" s="2" t="s">
        <v>4185</v>
      </c>
      <c r="B3757" s="2" t="s">
        <v>4165</v>
      </c>
      <c r="C3757" s="2" t="s">
        <v>4214</v>
      </c>
      <c r="D3757" s="3" t="str">
        <f t="shared" si="385"/>
        <v>12Go Link</v>
      </c>
      <c r="E3757" s="2" t="s">
        <v>13</v>
      </c>
    </row>
    <row r="3758">
      <c r="A3758" s="2" t="s">
        <v>4185</v>
      </c>
      <c r="B3758" s="2" t="s">
        <v>4168</v>
      </c>
      <c r="C3758" s="2" t="s">
        <v>4215</v>
      </c>
      <c r="D3758" s="3" t="str">
        <f t="shared" ref="D3758:D3760" si="386">HYPERLINK("https://12go.asia/en/travel/Penang-Hotel-Transfer/Ipoh-Hotel-Transfer", "12Go Link")</f>
        <v>12Go Link</v>
      </c>
      <c r="E3758" s="2" t="s">
        <v>3754</v>
      </c>
    </row>
    <row r="3759">
      <c r="A3759" s="2" t="s">
        <v>4185</v>
      </c>
      <c r="B3759" s="2" t="s">
        <v>4168</v>
      </c>
      <c r="C3759" s="2" t="s">
        <v>4215</v>
      </c>
      <c r="D3759" s="3" t="str">
        <f t="shared" si="386"/>
        <v>12Go Link</v>
      </c>
      <c r="E3759" s="2" t="s">
        <v>2006</v>
      </c>
    </row>
    <row r="3760">
      <c r="A3760" s="2" t="s">
        <v>4185</v>
      </c>
      <c r="B3760" s="2" t="s">
        <v>4168</v>
      </c>
      <c r="C3760" s="2" t="s">
        <v>4215</v>
      </c>
      <c r="D3760" s="3" t="str">
        <f t="shared" si="386"/>
        <v>12Go Link</v>
      </c>
      <c r="E3760" s="2" t="s">
        <v>13</v>
      </c>
    </row>
    <row r="3761">
      <c r="A3761" s="2" t="s">
        <v>4185</v>
      </c>
      <c r="B3761" s="2" t="s">
        <v>4216</v>
      </c>
      <c r="C3761" s="2" t="s">
        <v>4217</v>
      </c>
      <c r="D3761" s="3" t="str">
        <f t="shared" ref="D3761:D3763" si="387">HYPERLINK("https://12go.asia/en/travel/Penang-Hotel-Transfer/Jetty-Kuala-Kedah", "12Go Link")</f>
        <v>12Go Link</v>
      </c>
      <c r="E3761" s="2" t="s">
        <v>3754</v>
      </c>
    </row>
    <row r="3762">
      <c r="A3762" s="2" t="s">
        <v>4185</v>
      </c>
      <c r="B3762" s="2" t="s">
        <v>4216</v>
      </c>
      <c r="C3762" s="2" t="s">
        <v>4217</v>
      </c>
      <c r="D3762" s="3" t="str">
        <f t="shared" si="387"/>
        <v>12Go Link</v>
      </c>
      <c r="E3762" s="2" t="s">
        <v>2006</v>
      </c>
    </row>
    <row r="3763">
      <c r="A3763" s="2" t="s">
        <v>4185</v>
      </c>
      <c r="B3763" s="2" t="s">
        <v>4216</v>
      </c>
      <c r="C3763" s="2" t="s">
        <v>4217</v>
      </c>
      <c r="D3763" s="3" t="str">
        <f t="shared" si="387"/>
        <v>12Go Link</v>
      </c>
      <c r="E3763" s="2" t="s">
        <v>13</v>
      </c>
    </row>
    <row r="3764">
      <c r="A3764" s="2" t="s">
        <v>4185</v>
      </c>
      <c r="B3764" s="2" t="s">
        <v>4161</v>
      </c>
      <c r="C3764" s="2" t="s">
        <v>4218</v>
      </c>
      <c r="D3764" s="3" t="str">
        <f t="shared" ref="D3764:D3766" si="388">HYPERLINK("https://12go.asia/en/travel/Penang-Hotel-Transfer/Kuala-Lumpur-Airport", "12Go Link")</f>
        <v>12Go Link</v>
      </c>
      <c r="E3764" s="2" t="s">
        <v>3754</v>
      </c>
    </row>
    <row r="3765">
      <c r="A3765" s="2" t="s">
        <v>4185</v>
      </c>
      <c r="B3765" s="2" t="s">
        <v>4161</v>
      </c>
      <c r="C3765" s="2" t="s">
        <v>4218</v>
      </c>
      <c r="D3765" s="3" t="str">
        <f t="shared" si="388"/>
        <v>12Go Link</v>
      </c>
      <c r="E3765" s="2" t="s">
        <v>2006</v>
      </c>
    </row>
    <row r="3766">
      <c r="A3766" s="2" t="s">
        <v>4185</v>
      </c>
      <c r="B3766" s="2" t="s">
        <v>4161</v>
      </c>
      <c r="C3766" s="2" t="s">
        <v>4218</v>
      </c>
      <c r="D3766" s="3" t="str">
        <f t="shared" si="388"/>
        <v>12Go Link</v>
      </c>
      <c r="E3766" s="2" t="s">
        <v>13</v>
      </c>
    </row>
    <row r="3767">
      <c r="A3767" s="2" t="s">
        <v>4185</v>
      </c>
      <c r="B3767" s="2" t="s">
        <v>4161</v>
      </c>
      <c r="C3767" s="2" t="s">
        <v>4219</v>
      </c>
      <c r="D3767" s="3" t="str">
        <f t="shared" ref="D3767:D3769" si="389">HYPERLINK("https://12go.asia/en/travel/Penang-Hotel-Transfer/Kuala-Lumpur-City-Hotel-Transfer", "12Go Link")</f>
        <v>12Go Link</v>
      </c>
      <c r="E3767" s="2" t="s">
        <v>3754</v>
      </c>
    </row>
    <row r="3768">
      <c r="A3768" s="2" t="s">
        <v>4185</v>
      </c>
      <c r="B3768" s="2" t="s">
        <v>4161</v>
      </c>
      <c r="C3768" s="2" t="s">
        <v>4219</v>
      </c>
      <c r="D3768" s="3" t="str">
        <f t="shared" si="389"/>
        <v>12Go Link</v>
      </c>
      <c r="E3768" s="2" t="s">
        <v>2006</v>
      </c>
    </row>
    <row r="3769">
      <c r="A3769" s="2" t="s">
        <v>4185</v>
      </c>
      <c r="B3769" s="2" t="s">
        <v>4161</v>
      </c>
      <c r="C3769" s="2" t="s">
        <v>4219</v>
      </c>
      <c r="D3769" s="3" t="str">
        <f t="shared" si="389"/>
        <v>12Go Link</v>
      </c>
      <c r="E3769" s="2" t="s">
        <v>13</v>
      </c>
    </row>
    <row r="3770">
      <c r="A3770" s="2" t="s">
        <v>4185</v>
      </c>
      <c r="B3770" s="2" t="s">
        <v>4185</v>
      </c>
      <c r="C3770" s="2" t="s">
        <v>4220</v>
      </c>
      <c r="D3770" s="3" t="str">
        <f t="shared" ref="D3770:D3772" si="390">HYPERLINK("https://12go.asia/en/travel/Penang-International-Airport/George-Town", "12Go Link")</f>
        <v>12Go Link</v>
      </c>
      <c r="E3770" s="2" t="s">
        <v>3754</v>
      </c>
    </row>
    <row r="3771">
      <c r="A3771" s="2" t="s">
        <v>4185</v>
      </c>
      <c r="B3771" s="2" t="s">
        <v>4185</v>
      </c>
      <c r="C3771" s="2" t="s">
        <v>4220</v>
      </c>
      <c r="D3771" s="3" t="str">
        <f t="shared" si="390"/>
        <v>12Go Link</v>
      </c>
      <c r="E3771" s="2" t="s">
        <v>2006</v>
      </c>
    </row>
    <row r="3772">
      <c r="A3772" s="2" t="s">
        <v>4185</v>
      </c>
      <c r="B3772" s="2" t="s">
        <v>4185</v>
      </c>
      <c r="C3772" s="2" t="s">
        <v>4220</v>
      </c>
      <c r="D3772" s="3" t="str">
        <f t="shared" si="390"/>
        <v>12Go Link</v>
      </c>
      <c r="E3772" s="2" t="s">
        <v>13</v>
      </c>
    </row>
    <row r="3773">
      <c r="A3773" s="2" t="s">
        <v>4185</v>
      </c>
      <c r="B3773" s="2" t="s">
        <v>4185</v>
      </c>
      <c r="C3773" s="2" t="s">
        <v>4221</v>
      </c>
      <c r="D3773" s="3" t="str">
        <f t="shared" ref="D3773:D3775" si="391">HYPERLINK("https://12go.asia/en/travel/Penang-International-Airport/Penang-beach", "12Go Link")</f>
        <v>12Go Link</v>
      </c>
      <c r="E3773" s="2" t="s">
        <v>3754</v>
      </c>
    </row>
    <row r="3774">
      <c r="A3774" s="2" t="s">
        <v>4185</v>
      </c>
      <c r="B3774" s="2" t="s">
        <v>4185</v>
      </c>
      <c r="C3774" s="2" t="s">
        <v>4221</v>
      </c>
      <c r="D3774" s="3" t="str">
        <f t="shared" si="391"/>
        <v>12Go Link</v>
      </c>
      <c r="E3774" s="2" t="s">
        <v>2006</v>
      </c>
    </row>
    <row r="3775">
      <c r="A3775" s="2" t="s">
        <v>4185</v>
      </c>
      <c r="B3775" s="2" t="s">
        <v>4185</v>
      </c>
      <c r="C3775" s="2" t="s">
        <v>4221</v>
      </c>
      <c r="D3775" s="3" t="str">
        <f t="shared" si="391"/>
        <v>12Go Link</v>
      </c>
      <c r="E3775" s="2" t="s">
        <v>13</v>
      </c>
    </row>
    <row r="3776">
      <c r="A3776" s="2" t="s">
        <v>4185</v>
      </c>
      <c r="B3776" s="2" t="s">
        <v>4204</v>
      </c>
      <c r="C3776" s="2" t="s">
        <v>4222</v>
      </c>
      <c r="D3776" s="3" t="str">
        <f>HYPERLINK("https://12go.asia/en/travel/22-Jalan-Ria-George-Town/Hat-Yai-Van-Terminal", "12Go Link")</f>
        <v>12Go Link</v>
      </c>
      <c r="E3776" s="2" t="s">
        <v>4223</v>
      </c>
    </row>
    <row r="3777">
      <c r="A3777" s="2" t="s">
        <v>4185</v>
      </c>
      <c r="B3777" s="2" t="s">
        <v>4224</v>
      </c>
      <c r="C3777" s="2" t="s">
        <v>4225</v>
      </c>
      <c r="D3777" s="3" t="str">
        <f>HYPERLINK("https://12go.asia/en/travel/22-Jalan-Ria-George-Town/Krabi-Bus-Terminal", "12Go Link")</f>
        <v>12Go Link</v>
      </c>
      <c r="E3777" s="2" t="s">
        <v>4223</v>
      </c>
    </row>
    <row r="3778">
      <c r="A3778" s="2" t="s">
        <v>4185</v>
      </c>
      <c r="B3778" s="2" t="s">
        <v>4226</v>
      </c>
      <c r="C3778" s="2" t="s">
        <v>4227</v>
      </c>
      <c r="D3778" s="3" t="str">
        <f>HYPERLINK("https://12go.asia/en/travel/22-Jalan-Ria-George-Town/Pak-Bara", "12Go Link")</f>
        <v>12Go Link</v>
      </c>
      <c r="E3778" s="2" t="s">
        <v>4223</v>
      </c>
    </row>
    <row r="3779">
      <c r="A3779" s="2" t="s">
        <v>4185</v>
      </c>
      <c r="B3779" s="2" t="s">
        <v>4228</v>
      </c>
      <c r="C3779" s="2" t="s">
        <v>4229</v>
      </c>
      <c r="D3779" s="3" t="str">
        <f>HYPERLINK("https://12go.asia/en/travel/22-Jalan-Ria-George-Town/Phuket-Bus-Terminal-2", "12Go Link")</f>
        <v>12Go Link</v>
      </c>
      <c r="E3779" s="2" t="s">
        <v>4223</v>
      </c>
    </row>
    <row r="3780">
      <c r="A3780" s="2" t="s">
        <v>4185</v>
      </c>
      <c r="B3780" s="2" t="s">
        <v>4230</v>
      </c>
      <c r="C3780" s="2" t="s">
        <v>4231</v>
      </c>
      <c r="D3780" s="3" t="str">
        <f>HYPERLINK("https://12go.asia/en/travel/22-Jalan-Ria-George-Town/Dannok-McDonalds", "12Go Link")</f>
        <v>12Go Link</v>
      </c>
      <c r="E3780" s="2" t="s">
        <v>4223</v>
      </c>
    </row>
    <row r="3781">
      <c r="A3781" s="2" t="s">
        <v>4185</v>
      </c>
      <c r="B3781" s="2" t="s">
        <v>4232</v>
      </c>
      <c r="C3781" s="2" t="s">
        <v>4233</v>
      </c>
      <c r="D3781" s="3" t="str">
        <f>HYPERLINK("https://12go.asia/en/travel/22-Jalan-Ria-George-Town/Trang-Van-Station", "12Go Link")</f>
        <v>12Go Link</v>
      </c>
      <c r="E3781" s="2" t="s">
        <v>4223</v>
      </c>
    </row>
    <row r="3782">
      <c r="A3782" s="2" t="s">
        <v>4234</v>
      </c>
      <c r="B3782" s="2" t="s">
        <v>4153</v>
      </c>
      <c r="C3782" s="2" t="s">
        <v>4235</v>
      </c>
      <c r="D3782" s="3" t="str">
        <f>HYPERLINK("https://12go.asia/en/travel/Pulau-Perhentian-Island/Kuala-Besut-Jetty", "12Go Link")</f>
        <v>12Go Link</v>
      </c>
      <c r="E3782" s="2" t="s">
        <v>234</v>
      </c>
    </row>
    <row r="3783">
      <c r="A3783" s="2" t="s">
        <v>4159</v>
      </c>
      <c r="B3783" s="2" t="s">
        <v>4158</v>
      </c>
      <c r="C3783" s="2" t="s">
        <v>4236</v>
      </c>
      <c r="D3783" s="3" t="str">
        <f>HYPERLINK("https://12go.asia/en/travel/subang-airport/kota-bharu", "12Go Link")</f>
        <v>12Go Link</v>
      </c>
      <c r="E3783" s="2" t="s">
        <v>60</v>
      </c>
    </row>
    <row r="3784">
      <c r="A3784" s="2" t="s">
        <v>4159</v>
      </c>
      <c r="B3784" s="2" t="s">
        <v>4237</v>
      </c>
      <c r="C3784" s="2" t="s">
        <v>4238</v>
      </c>
      <c r="D3784" s="3" t="str">
        <f>HYPERLINK("https://12go.asia/en/travel/subang-airport/penang-airport", "12Go Link")</f>
        <v>12Go Link</v>
      </c>
      <c r="E3784" s="2" t="s">
        <v>60</v>
      </c>
    </row>
    <row r="3785">
      <c r="A3785" s="2" t="s">
        <v>4159</v>
      </c>
      <c r="B3785" s="2" t="s">
        <v>4239</v>
      </c>
      <c r="C3785" s="2" t="s">
        <v>4240</v>
      </c>
      <c r="D3785" s="3" t="str">
        <f>HYPERLINK("https://12go.asia/en/travel/subang-airport/sungai-nibong", "12Go Link")</f>
        <v>12Go Link</v>
      </c>
      <c r="E3785" s="2" t="s">
        <v>60</v>
      </c>
    </row>
    <row r="3786">
      <c r="A3786" s="2" t="s">
        <v>4153</v>
      </c>
      <c r="B3786" s="2" t="s">
        <v>4152</v>
      </c>
      <c r="C3786" s="2" t="s">
        <v>4241</v>
      </c>
      <c r="D3786" s="3" t="str">
        <f t="shared" ref="D3786:D3787" si="392">HYPERLINK("https://12go.asia/en/travel/Kuala-Besut-Jetty/Kota-Bharu-Airport", "12Go Link")</f>
        <v>12Go Link</v>
      </c>
      <c r="E3786" s="2" t="s">
        <v>4155</v>
      </c>
    </row>
    <row r="3787">
      <c r="A3787" s="2" t="s">
        <v>4153</v>
      </c>
      <c r="B3787" s="2" t="s">
        <v>4152</v>
      </c>
      <c r="C3787" s="2" t="s">
        <v>4241</v>
      </c>
      <c r="D3787" s="3" t="str">
        <f t="shared" si="392"/>
        <v>12Go Link</v>
      </c>
      <c r="E3787" s="2" t="s">
        <v>4156</v>
      </c>
    </row>
    <row r="3788">
      <c r="A3788" s="2" t="s">
        <v>4153</v>
      </c>
      <c r="B3788" s="2" t="s">
        <v>4152</v>
      </c>
      <c r="C3788" s="2" t="s">
        <v>4242</v>
      </c>
      <c r="D3788" s="3" t="str">
        <f t="shared" ref="D3788:D3789" si="393">HYPERLINK("https://12go.asia/en/travel/Kuala-Besut-Jetty/Kota-Bharu-City-Centre", "12Go Link")</f>
        <v>12Go Link</v>
      </c>
      <c r="E3788" s="2" t="s">
        <v>4155</v>
      </c>
    </row>
    <row r="3789">
      <c r="A3789" s="2" t="s">
        <v>4153</v>
      </c>
      <c r="B3789" s="2" t="s">
        <v>4152</v>
      </c>
      <c r="C3789" s="2" t="s">
        <v>4242</v>
      </c>
      <c r="D3789" s="3" t="str">
        <f t="shared" si="393"/>
        <v>12Go Link</v>
      </c>
      <c r="E3789" s="2" t="s">
        <v>4156</v>
      </c>
    </row>
    <row r="3790">
      <c r="A3790" s="2" t="s">
        <v>4153</v>
      </c>
      <c r="B3790" s="2" t="s">
        <v>4234</v>
      </c>
      <c r="C3790" s="2" t="s">
        <v>4243</v>
      </c>
      <c r="D3790" s="3" t="str">
        <f>HYPERLINK("https://12go.asia/en/travel/Kuala-Besut-Jetty/Pulau-Perhentian-Island", "12Go Link")</f>
        <v>12Go Link</v>
      </c>
      <c r="E3790" s="2" t="s">
        <v>234</v>
      </c>
    </row>
    <row r="3791">
      <c r="A3791" s="2" t="s">
        <v>4153</v>
      </c>
      <c r="B3791" s="2" t="s">
        <v>4153</v>
      </c>
      <c r="C3791" s="2" t="s">
        <v>4244</v>
      </c>
      <c r="D3791" s="3" t="str">
        <f t="shared" ref="D3791:D3792" si="394">HYPERLINK("https://12go.asia/en/travel/Kuala-Besut-Jetty/Kuala-Terengganu-Airport", "12Go Link")</f>
        <v>12Go Link</v>
      </c>
      <c r="E3791" s="2" t="s">
        <v>4155</v>
      </c>
    </row>
    <row r="3792">
      <c r="A3792" s="2" t="s">
        <v>4153</v>
      </c>
      <c r="B3792" s="2" t="s">
        <v>4153</v>
      </c>
      <c r="C3792" s="2" t="s">
        <v>4244</v>
      </c>
      <c r="D3792" s="3" t="str">
        <f t="shared" si="394"/>
        <v>12Go Link</v>
      </c>
      <c r="E3792" s="2" t="s">
        <v>4156</v>
      </c>
    </row>
    <row r="3793">
      <c r="A3793" s="2" t="s">
        <v>4153</v>
      </c>
      <c r="B3793" s="2" t="s">
        <v>4153</v>
      </c>
      <c r="C3793" s="2" t="s">
        <v>4245</v>
      </c>
      <c r="D3793" s="3" t="str">
        <f t="shared" ref="D3793:D3796" si="395">HYPERLINK("https://12go.asia/en/travel/Kuala-Besut-Jetty/Kuala-Terengganu-City-Centre", "12Go Link")</f>
        <v>12Go Link</v>
      </c>
      <c r="E3793" s="2" t="s">
        <v>2006</v>
      </c>
    </row>
    <row r="3794">
      <c r="A3794" s="2" t="s">
        <v>4153</v>
      </c>
      <c r="B3794" s="2" t="s">
        <v>4153</v>
      </c>
      <c r="C3794" s="2" t="s">
        <v>4245</v>
      </c>
      <c r="D3794" s="3" t="str">
        <f t="shared" si="395"/>
        <v>12Go Link</v>
      </c>
      <c r="E3794" s="2" t="s">
        <v>4155</v>
      </c>
    </row>
    <row r="3795">
      <c r="A3795" s="2" t="s">
        <v>4153</v>
      </c>
      <c r="B3795" s="2" t="s">
        <v>4153</v>
      </c>
      <c r="C3795" s="2" t="s">
        <v>4245</v>
      </c>
      <c r="D3795" s="3" t="str">
        <f t="shared" si="395"/>
        <v>12Go Link</v>
      </c>
      <c r="E3795" s="2" t="s">
        <v>4156</v>
      </c>
    </row>
    <row r="3796">
      <c r="A3796" s="2" t="s">
        <v>4153</v>
      </c>
      <c r="B3796" s="2" t="s">
        <v>4153</v>
      </c>
      <c r="C3796" s="2" t="s">
        <v>4245</v>
      </c>
      <c r="D3796" s="3" t="str">
        <f t="shared" si="395"/>
        <v>12Go Link</v>
      </c>
      <c r="E3796" s="2" t="s">
        <v>4246</v>
      </c>
    </row>
    <row r="3797">
      <c r="A3797" s="2" t="s">
        <v>4153</v>
      </c>
      <c r="B3797" s="2" t="s">
        <v>4153</v>
      </c>
      <c r="C3797" s="2" t="s">
        <v>4247</v>
      </c>
      <c r="D3797" s="3" t="str">
        <f t="shared" ref="D3797:D3798" si="396">HYPERLINK("https://12go.asia/en/travel/Kuala-Besut-Jetty/Perhentian-Island", "12Go Link")</f>
        <v>12Go Link</v>
      </c>
      <c r="E3797" s="2" t="s">
        <v>4248</v>
      </c>
    </row>
    <row r="3798">
      <c r="A3798" s="2" t="s">
        <v>4153</v>
      </c>
      <c r="B3798" s="2" t="s">
        <v>4153</v>
      </c>
      <c r="C3798" s="2" t="s">
        <v>4247</v>
      </c>
      <c r="D3798" s="3" t="str">
        <f t="shared" si="396"/>
        <v>12Go Link</v>
      </c>
      <c r="E3798" s="2" t="s">
        <v>4249</v>
      </c>
    </row>
    <row r="3799">
      <c r="A3799" s="2" t="s">
        <v>4153</v>
      </c>
      <c r="B3799" s="2" t="s">
        <v>4153</v>
      </c>
      <c r="C3799" s="2" t="s">
        <v>4250</v>
      </c>
      <c r="D3799" s="3" t="str">
        <f t="shared" ref="D3799:D3800" si="397">HYPERLINK("https://12go.asia/en/travel/Kuala-Terengganu-Airport/Kuala-Besut-Jetty", "12Go Link")</f>
        <v>12Go Link</v>
      </c>
      <c r="E3799" s="2" t="s">
        <v>4155</v>
      </c>
    </row>
    <row r="3800">
      <c r="A3800" s="2" t="s">
        <v>4153</v>
      </c>
      <c r="B3800" s="2" t="s">
        <v>4153</v>
      </c>
      <c r="C3800" s="2" t="s">
        <v>4250</v>
      </c>
      <c r="D3800" s="3" t="str">
        <f t="shared" si="397"/>
        <v>12Go Link</v>
      </c>
      <c r="E3800" s="2" t="s">
        <v>4156</v>
      </c>
    </row>
    <row r="3801">
      <c r="A3801" s="2" t="s">
        <v>4153</v>
      </c>
      <c r="B3801" s="2" t="s">
        <v>4153</v>
      </c>
      <c r="C3801" s="2" t="s">
        <v>4251</v>
      </c>
      <c r="D3801" s="3" t="str">
        <f t="shared" ref="D3801:D3804" si="398">HYPERLINK("https://12go.asia/en/travel/Kuala-Terengganu-City-Centre/Kuala-Besut-Jetty", "12Go Link")</f>
        <v>12Go Link</v>
      </c>
      <c r="E3801" s="2" t="s">
        <v>2006</v>
      </c>
    </row>
    <row r="3802">
      <c r="A3802" s="2" t="s">
        <v>4153</v>
      </c>
      <c r="B3802" s="2" t="s">
        <v>4153</v>
      </c>
      <c r="C3802" s="2" t="s">
        <v>4251</v>
      </c>
      <c r="D3802" s="3" t="str">
        <f t="shared" si="398"/>
        <v>12Go Link</v>
      </c>
      <c r="E3802" s="2" t="s">
        <v>4155</v>
      </c>
    </row>
    <row r="3803">
      <c r="A3803" s="2" t="s">
        <v>4153</v>
      </c>
      <c r="B3803" s="2" t="s">
        <v>4153</v>
      </c>
      <c r="C3803" s="2" t="s">
        <v>4251</v>
      </c>
      <c r="D3803" s="3" t="str">
        <f t="shared" si="398"/>
        <v>12Go Link</v>
      </c>
      <c r="E3803" s="2" t="s">
        <v>4156</v>
      </c>
    </row>
    <row r="3804">
      <c r="A3804" s="2" t="s">
        <v>4153</v>
      </c>
      <c r="B3804" s="2" t="s">
        <v>4153</v>
      </c>
      <c r="C3804" s="2" t="s">
        <v>4251</v>
      </c>
      <c r="D3804" s="3" t="str">
        <f t="shared" si="398"/>
        <v>12Go Link</v>
      </c>
      <c r="E3804" s="2" t="s">
        <v>4246</v>
      </c>
    </row>
    <row r="3805">
      <c r="A3805" s="2" t="s">
        <v>4153</v>
      </c>
      <c r="B3805" s="2" t="s">
        <v>4153</v>
      </c>
      <c r="C3805" s="2" t="s">
        <v>4252</v>
      </c>
      <c r="D3805" s="3" t="str">
        <f t="shared" ref="D3805:D3806" si="399">HYPERLINK("https://12go.asia/en/travel/Perhentian-Island/Kuala-Besut-Jetty", "12Go Link")</f>
        <v>12Go Link</v>
      </c>
      <c r="E3805" s="2" t="s">
        <v>4248</v>
      </c>
    </row>
    <row r="3806">
      <c r="A3806" s="2" t="s">
        <v>4153</v>
      </c>
      <c r="B3806" s="2" t="s">
        <v>4153</v>
      </c>
      <c r="C3806" s="2" t="s">
        <v>4252</v>
      </c>
      <c r="D3806" s="3" t="str">
        <f t="shared" si="399"/>
        <v>12Go Link</v>
      </c>
      <c r="E3806" s="2" t="s">
        <v>4249</v>
      </c>
    </row>
    <row r="3807">
      <c r="A3807" s="2" t="s">
        <v>4253</v>
      </c>
      <c r="B3807" s="2" t="s">
        <v>4254</v>
      </c>
      <c r="C3807" s="2" t="s">
        <v>4255</v>
      </c>
      <c r="D3807" s="3" t="str">
        <f>HYPERLINK("https://12go.asia/en/travel/hermosillo-bus-station/tepic-tufesa", "12Go Link")</f>
        <v>12Go Link</v>
      </c>
      <c r="E3807" s="2" t="s">
        <v>25</v>
      </c>
    </row>
    <row r="3808">
      <c r="A3808" s="2" t="s">
        <v>4253</v>
      </c>
      <c r="B3808" s="2" t="s">
        <v>4254</v>
      </c>
      <c r="C3808" s="2" t="s">
        <v>4256</v>
      </c>
      <c r="D3808" s="3" t="str">
        <f>HYPERLINK("https://12go.asia/en/travel/hermosillo/tepic", "12Go Link")</f>
        <v>12Go Link</v>
      </c>
      <c r="E3808" s="2" t="s">
        <v>25</v>
      </c>
    </row>
    <row r="3809">
      <c r="A3809" s="2" t="s">
        <v>4257</v>
      </c>
      <c r="B3809" s="2" t="s">
        <v>4258</v>
      </c>
      <c r="C3809" s="2" t="s">
        <v>4259</v>
      </c>
      <c r="D3809" s="3" t="str">
        <f>HYPERLINK("https://12go.asia/en/travel/heroica-nogales/san-fernando-valley", "12Go Link")</f>
        <v>12Go Link</v>
      </c>
      <c r="E3809" s="2" t="s">
        <v>25</v>
      </c>
    </row>
    <row r="3810">
      <c r="A3810" s="2" t="s">
        <v>4260</v>
      </c>
      <c r="B3810" s="2" t="s">
        <v>4261</v>
      </c>
      <c r="C3810" s="2" t="s">
        <v>4262</v>
      </c>
      <c r="D3810" s="3" t="str">
        <f>HYPERLINK("https://12go.asia/en/travel/caloocan/benguet", "12Go Link")</f>
        <v>12Go Link</v>
      </c>
      <c r="E3810" s="2" t="s">
        <v>25</v>
      </c>
    </row>
    <row r="3811">
      <c r="A3811" s="2" t="s">
        <v>4263</v>
      </c>
      <c r="B3811" s="2" t="s">
        <v>4264</v>
      </c>
      <c r="C3811" s="2" t="s">
        <v>4265</v>
      </c>
      <c r="D3811" s="3" t="str">
        <f>HYPERLINK("https://12go.asia/en/travel/capiz/boracay", "12Go Link")</f>
        <v>12Go Link</v>
      </c>
      <c r="E3811" s="2" t="s">
        <v>3897</v>
      </c>
    </row>
    <row r="3812">
      <c r="A3812" s="2" t="s">
        <v>4266</v>
      </c>
      <c r="B3812" s="2" t="s">
        <v>4267</v>
      </c>
      <c r="C3812" s="2" t="s">
        <v>4268</v>
      </c>
      <c r="D3812" s="3" t="str">
        <f t="shared" ref="D3812:D3815" si="400">HYPERLINK("https://12go.asia/en/travel/Coron-Port/Baseco-Port", "12Go Link")</f>
        <v>12Go Link</v>
      </c>
      <c r="E3812" s="2" t="s">
        <v>4269</v>
      </c>
    </row>
    <row r="3813">
      <c r="A3813" s="2" t="s">
        <v>4266</v>
      </c>
      <c r="B3813" s="2" t="s">
        <v>4267</v>
      </c>
      <c r="C3813" s="2" t="s">
        <v>4268</v>
      </c>
      <c r="D3813" s="3" t="str">
        <f t="shared" si="400"/>
        <v>12Go Link</v>
      </c>
      <c r="E3813" s="2" t="s">
        <v>4270</v>
      </c>
    </row>
    <row r="3814">
      <c r="A3814" s="2" t="s">
        <v>4266</v>
      </c>
      <c r="B3814" s="2" t="s">
        <v>4267</v>
      </c>
      <c r="C3814" s="2" t="s">
        <v>4268</v>
      </c>
      <c r="D3814" s="3" t="str">
        <f t="shared" si="400"/>
        <v>12Go Link</v>
      </c>
      <c r="E3814" s="2" t="s">
        <v>4271</v>
      </c>
    </row>
    <row r="3815">
      <c r="A3815" s="2" t="s">
        <v>4266</v>
      </c>
      <c r="B3815" s="2" t="s">
        <v>4267</v>
      </c>
      <c r="C3815" s="2" t="s">
        <v>4268</v>
      </c>
      <c r="D3815" s="3" t="str">
        <f t="shared" si="400"/>
        <v>12Go Link</v>
      </c>
      <c r="E3815" s="2" t="s">
        <v>4272</v>
      </c>
    </row>
    <row r="3816">
      <c r="A3816" s="2" t="s">
        <v>4273</v>
      </c>
      <c r="B3816" s="2" t="s">
        <v>4274</v>
      </c>
      <c r="C3816" s="2" t="s">
        <v>4275</v>
      </c>
      <c r="D3816" s="3" t="str">
        <f>HYPERLINK("https://12go.asia/en/travel/dapitan/basilan", "12Go Link")</f>
        <v>12Go Link</v>
      </c>
      <c r="E3816" s="2" t="s">
        <v>3897</v>
      </c>
    </row>
    <row r="3817">
      <c r="A3817" s="2" t="s">
        <v>4276</v>
      </c>
      <c r="B3817" s="2" t="s">
        <v>4277</v>
      </c>
      <c r="C3817" s="2" t="s">
        <v>4278</v>
      </c>
      <c r="D3817" s="3" t="str">
        <f>HYPERLINK("https://12go.asia/en/travel/Dumaguete-Port/Siquijor-Port", "12Go Link")</f>
        <v>12Go Link</v>
      </c>
      <c r="E3817" s="2" t="s">
        <v>4279</v>
      </c>
    </row>
    <row r="3818">
      <c r="A3818" s="2" t="s">
        <v>4280</v>
      </c>
      <c r="B3818" s="2" t="s">
        <v>4267</v>
      </c>
      <c r="C3818" s="2" t="s">
        <v>4281</v>
      </c>
      <c r="D3818" s="3" t="str">
        <f t="shared" ref="D3818:D3819" si="401">HYPERLINK("https://12go.asia/en/travel/El-Nido-Ferry-Terminal/Baseco-Port", "12Go Link")</f>
        <v>12Go Link</v>
      </c>
      <c r="E3818" s="2" t="s">
        <v>4269</v>
      </c>
    </row>
    <row r="3819">
      <c r="A3819" s="2" t="s">
        <v>4280</v>
      </c>
      <c r="B3819" s="2" t="s">
        <v>4267</v>
      </c>
      <c r="C3819" s="2" t="s">
        <v>4281</v>
      </c>
      <c r="D3819" s="3" t="str">
        <f t="shared" si="401"/>
        <v>12Go Link</v>
      </c>
      <c r="E3819" s="2" t="s">
        <v>4270</v>
      </c>
    </row>
    <row r="3820">
      <c r="A3820" s="2" t="s">
        <v>4267</v>
      </c>
      <c r="B3820" s="2" t="s">
        <v>4266</v>
      </c>
      <c r="C3820" s="2" t="s">
        <v>4282</v>
      </c>
      <c r="D3820" s="3" t="str">
        <f t="shared" ref="D3820:D3823" si="402">HYPERLINK("https://12go.asia/en/travel/Baseco-Port/Coron-Port", "12Go Link")</f>
        <v>12Go Link</v>
      </c>
      <c r="E3820" s="2" t="s">
        <v>4269</v>
      </c>
    </row>
    <row r="3821">
      <c r="A3821" s="2" t="s">
        <v>4267</v>
      </c>
      <c r="B3821" s="2" t="s">
        <v>4266</v>
      </c>
      <c r="C3821" s="2" t="s">
        <v>4282</v>
      </c>
      <c r="D3821" s="3" t="str">
        <f t="shared" si="402"/>
        <v>12Go Link</v>
      </c>
      <c r="E3821" s="2" t="s">
        <v>4270</v>
      </c>
    </row>
    <row r="3822">
      <c r="A3822" s="2" t="s">
        <v>4267</v>
      </c>
      <c r="B3822" s="2" t="s">
        <v>4266</v>
      </c>
      <c r="C3822" s="2" t="s">
        <v>4282</v>
      </c>
      <c r="D3822" s="3" t="str">
        <f t="shared" si="402"/>
        <v>12Go Link</v>
      </c>
      <c r="E3822" s="2" t="s">
        <v>4271</v>
      </c>
    </row>
    <row r="3823">
      <c r="A3823" s="2" t="s">
        <v>4267</v>
      </c>
      <c r="B3823" s="2" t="s">
        <v>4266</v>
      </c>
      <c r="C3823" s="2" t="s">
        <v>4282</v>
      </c>
      <c r="D3823" s="3" t="str">
        <f t="shared" si="402"/>
        <v>12Go Link</v>
      </c>
      <c r="E3823" s="2" t="s">
        <v>4272</v>
      </c>
    </row>
    <row r="3824">
      <c r="A3824" s="2" t="s">
        <v>4267</v>
      </c>
      <c r="B3824" s="2" t="s">
        <v>4280</v>
      </c>
      <c r="C3824" s="2" t="s">
        <v>4283</v>
      </c>
      <c r="D3824" s="3" t="str">
        <f t="shared" ref="D3824:D3825" si="403">HYPERLINK("https://12go.asia/en/travel/Baseco-Port/El-Nido-Ferry-Terminal", "12Go Link")</f>
        <v>12Go Link</v>
      </c>
      <c r="E3824" s="2" t="s">
        <v>4269</v>
      </c>
    </row>
    <row r="3825">
      <c r="A3825" s="2" t="s">
        <v>4267</v>
      </c>
      <c r="B3825" s="2" t="s">
        <v>4280</v>
      </c>
      <c r="C3825" s="2" t="s">
        <v>4283</v>
      </c>
      <c r="D3825" s="3" t="str">
        <f t="shared" si="403"/>
        <v>12Go Link</v>
      </c>
      <c r="E3825" s="2" t="s">
        <v>4270</v>
      </c>
    </row>
    <row r="3826">
      <c r="A3826" s="2" t="s">
        <v>4284</v>
      </c>
      <c r="B3826" s="2" t="s">
        <v>4285</v>
      </c>
      <c r="C3826" s="2" t="s">
        <v>4286</v>
      </c>
      <c r="D3826" s="3" t="str">
        <f>HYPERLINK("https://12go.asia/en/travel/nueva-vizcaya/baclaran", "12Go Link")</f>
        <v>12Go Link</v>
      </c>
      <c r="E3826" s="2" t="s">
        <v>25</v>
      </c>
    </row>
    <row r="3827">
      <c r="A3827" s="2" t="s">
        <v>4287</v>
      </c>
      <c r="B3827" s="2" t="s">
        <v>4288</v>
      </c>
      <c r="C3827" s="2" t="s">
        <v>4289</v>
      </c>
      <c r="D3827" s="3" t="str">
        <f>HYPERLINK("https://12go.asia/en/travel/panglao/misamis-occidental", "12Go Link")</f>
        <v>12Go Link</v>
      </c>
      <c r="E3827" s="2" t="s">
        <v>3897</v>
      </c>
    </row>
    <row r="3828">
      <c r="A3828" s="2" t="s">
        <v>4287</v>
      </c>
      <c r="B3828" s="2" t="s">
        <v>4290</v>
      </c>
      <c r="C3828" s="2" t="s">
        <v>4291</v>
      </c>
      <c r="D3828" s="3" t="str">
        <f>HYPERLINK("https://12go.asia/en/travel/panglao/oroquieta", "12Go Link")</f>
        <v>12Go Link</v>
      </c>
      <c r="E3828" s="2" t="s">
        <v>3897</v>
      </c>
    </row>
    <row r="3829">
      <c r="A3829" s="2" t="s">
        <v>4277</v>
      </c>
      <c r="B3829" s="2" t="s">
        <v>4276</v>
      </c>
      <c r="C3829" s="2" t="s">
        <v>4292</v>
      </c>
      <c r="D3829" s="3" t="str">
        <f>HYPERLINK("https://12go.asia/en/travel/Siquijor-Port/Dumaguete-Port", "12Go Link")</f>
        <v>12Go Link</v>
      </c>
      <c r="E3829" s="2" t="s">
        <v>4279</v>
      </c>
    </row>
    <row r="3830">
      <c r="A3830" s="2" t="s">
        <v>4293</v>
      </c>
      <c r="B3830" s="2" t="s">
        <v>4285</v>
      </c>
      <c r="C3830" s="2" t="s">
        <v>4294</v>
      </c>
      <c r="D3830" s="3" t="str">
        <f>HYPERLINK("https://12go.asia/en/travel/solano/baclaran", "12Go Link")</f>
        <v>12Go Link</v>
      </c>
      <c r="E3830" s="2" t="s">
        <v>25</v>
      </c>
    </row>
    <row r="3831">
      <c r="A3831" s="2" t="s">
        <v>4295</v>
      </c>
      <c r="B3831" s="2" t="s">
        <v>4296</v>
      </c>
      <c r="C3831" s="2" t="s">
        <v>4297</v>
      </c>
      <c r="D3831" s="3" t="str">
        <f>HYPERLINK("https://12go.asia/en/travel/tabuk-kalinga/makati", "12Go Link")</f>
        <v>12Go Link</v>
      </c>
      <c r="E3831" s="2" t="s">
        <v>25</v>
      </c>
    </row>
    <row r="3832">
      <c r="A3832" s="2" t="s">
        <v>4298</v>
      </c>
      <c r="B3832" s="2" t="s">
        <v>4299</v>
      </c>
      <c r="C3832" s="2" t="s">
        <v>4300</v>
      </c>
      <c r="D3832" s="3" t="str">
        <f>HYPERLINK("https://12go.asia/en/travel/giurgiu/dubai-airport", "12Go Link")</f>
        <v>12Go Link</v>
      </c>
      <c r="E3832" s="2" t="s">
        <v>60</v>
      </c>
    </row>
    <row r="3833">
      <c r="A3833" s="2" t="s">
        <v>4199</v>
      </c>
      <c r="B3833" s="2" t="s">
        <v>4161</v>
      </c>
      <c r="C3833" s="2" t="s">
        <v>4301</v>
      </c>
      <c r="D3833" s="3" t="str">
        <f t="shared" ref="D3833:D3835" si="404">HYPERLINK("https://12go.asia/en/travel/Singapore-Hotel-Transfer/Kuala-Lumpur-Hotel-Transfer", "12Go Link")</f>
        <v>12Go Link</v>
      </c>
      <c r="E3833" s="2" t="s">
        <v>3754</v>
      </c>
    </row>
    <row r="3834">
      <c r="A3834" s="2" t="s">
        <v>4199</v>
      </c>
      <c r="B3834" s="2" t="s">
        <v>4161</v>
      </c>
      <c r="C3834" s="2" t="s">
        <v>4301</v>
      </c>
      <c r="D3834" s="3" t="str">
        <f t="shared" si="404"/>
        <v>12Go Link</v>
      </c>
      <c r="E3834" s="2" t="s">
        <v>2006</v>
      </c>
    </row>
    <row r="3835">
      <c r="A3835" s="2" t="s">
        <v>4199</v>
      </c>
      <c r="B3835" s="2" t="s">
        <v>4161</v>
      </c>
      <c r="C3835" s="2" t="s">
        <v>4301</v>
      </c>
      <c r="D3835" s="3" t="str">
        <f t="shared" si="404"/>
        <v>12Go Link</v>
      </c>
      <c r="E3835" s="2" t="s">
        <v>13</v>
      </c>
    </row>
    <row r="3836">
      <c r="A3836" s="2" t="s">
        <v>4199</v>
      </c>
      <c r="B3836" s="2" t="s">
        <v>4161</v>
      </c>
      <c r="C3836" s="2" t="s">
        <v>4302</v>
      </c>
      <c r="D3836" s="3" t="str">
        <f>HYPERLINK("https://12go.asia/en/travel/jurong-east-bus-mrt-interchange/swiss-garden-hotel", "12Go Link")</f>
        <v>12Go Link</v>
      </c>
      <c r="E3836" s="2" t="s">
        <v>25</v>
      </c>
    </row>
    <row r="3837">
      <c r="A3837" s="2" t="s">
        <v>4199</v>
      </c>
      <c r="B3837" s="2" t="s">
        <v>4161</v>
      </c>
      <c r="C3837" s="2" t="s">
        <v>4303</v>
      </c>
      <c r="D3837" s="3" t="str">
        <f>HYPERLINK("https://12go.asia/en/travel/kovan-hub-206/swiss-garden-hotel", "12Go Link")</f>
        <v>12Go Link</v>
      </c>
      <c r="E3837" s="2" t="s">
        <v>25</v>
      </c>
    </row>
    <row r="3838">
      <c r="A3838" s="2" t="s">
        <v>4199</v>
      </c>
      <c r="B3838" s="2" t="s">
        <v>4179</v>
      </c>
      <c r="C3838" s="2" t="s">
        <v>4304</v>
      </c>
      <c r="D3838" s="3" t="str">
        <f>HYPERLINK("https://12go.asia/en/travel/harbourfront/melaka-sentral", "12Go Link")</f>
        <v>12Go Link</v>
      </c>
      <c r="E3838" s="2" t="s">
        <v>25</v>
      </c>
    </row>
    <row r="3839">
      <c r="A3839" s="2" t="s">
        <v>4199</v>
      </c>
      <c r="B3839" s="2" t="s">
        <v>4179</v>
      </c>
      <c r="C3839" s="2" t="s">
        <v>4305</v>
      </c>
      <c r="D3839" s="3" t="str">
        <f>HYPERLINK("https://12go.asia/en/travel/jurong-east-bus-mrt-interchange/melaka-sentral", "12Go Link")</f>
        <v>12Go Link</v>
      </c>
      <c r="E3839" s="2" t="s">
        <v>25</v>
      </c>
    </row>
    <row r="3840">
      <c r="A3840" s="2" t="s">
        <v>4306</v>
      </c>
      <c r="B3840" s="2" t="s">
        <v>4307</v>
      </c>
      <c r="C3840" s="2" t="s">
        <v>4308</v>
      </c>
      <c r="D3840" s="3" t="str">
        <f t="shared" ref="D3840:D3842" si="405">HYPERLINK("https://12go.asia/en/travel/Addo-Elephant-National-Park-Transfer/Chief-Dawid-Stuurman-Intl-Airport", "12Go Link")</f>
        <v>12Go Link</v>
      </c>
      <c r="E3840" s="2" t="s">
        <v>191</v>
      </c>
    </row>
    <row r="3841">
      <c r="A3841" s="2" t="s">
        <v>4306</v>
      </c>
      <c r="B3841" s="2" t="s">
        <v>4307</v>
      </c>
      <c r="C3841" s="2" t="s">
        <v>4308</v>
      </c>
      <c r="D3841" s="3" t="str">
        <f t="shared" si="405"/>
        <v>12Go Link</v>
      </c>
      <c r="E3841" s="2" t="s">
        <v>192</v>
      </c>
    </row>
    <row r="3842">
      <c r="A3842" s="2" t="s">
        <v>4306</v>
      </c>
      <c r="B3842" s="2" t="s">
        <v>4307</v>
      </c>
      <c r="C3842" s="2" t="s">
        <v>4308</v>
      </c>
      <c r="D3842" s="3" t="str">
        <f t="shared" si="405"/>
        <v>12Go Link</v>
      </c>
      <c r="E3842" s="2" t="s">
        <v>193</v>
      </c>
    </row>
    <row r="3843">
      <c r="A3843" s="2" t="s">
        <v>4309</v>
      </c>
      <c r="B3843" s="2" t="s">
        <v>4310</v>
      </c>
      <c r="C3843" s="2" t="s">
        <v>4311</v>
      </c>
      <c r="D3843" s="3" t="str">
        <f t="shared" ref="D3843:D3845" si="406">HYPERLINK("https://12go.asia/en/travel/Alberton-Transfer/OR-Tambo-International-Airport", "12Go Link")</f>
        <v>12Go Link</v>
      </c>
      <c r="E3843" s="2" t="s">
        <v>191</v>
      </c>
    </row>
    <row r="3844">
      <c r="A3844" s="2" t="s">
        <v>4309</v>
      </c>
      <c r="B3844" s="2" t="s">
        <v>4310</v>
      </c>
      <c r="C3844" s="2" t="s">
        <v>4311</v>
      </c>
      <c r="D3844" s="3" t="str">
        <f t="shared" si="406"/>
        <v>12Go Link</v>
      </c>
      <c r="E3844" s="2" t="s">
        <v>192</v>
      </c>
    </row>
    <row r="3845">
      <c r="A3845" s="2" t="s">
        <v>4309</v>
      </c>
      <c r="B3845" s="2" t="s">
        <v>4310</v>
      </c>
      <c r="C3845" s="2" t="s">
        <v>4311</v>
      </c>
      <c r="D3845" s="3" t="str">
        <f t="shared" si="406"/>
        <v>12Go Link</v>
      </c>
      <c r="E3845" s="2" t="s">
        <v>193</v>
      </c>
    </row>
    <row r="3846">
      <c r="A3846" s="2" t="s">
        <v>4312</v>
      </c>
      <c r="B3846" s="2" t="s">
        <v>4307</v>
      </c>
      <c r="C3846" s="2" t="s">
        <v>4313</v>
      </c>
      <c r="D3846" s="3" t="str">
        <f t="shared" ref="D3846:D3848" si="407">HYPERLINK("https://12go.asia/en/travel/Amakhala-Game-Reserve-Transfer/Chief-Dawid-Stuurman-Intl-Airport", "12Go Link")</f>
        <v>12Go Link</v>
      </c>
      <c r="E3846" s="2" t="s">
        <v>191</v>
      </c>
    </row>
    <row r="3847">
      <c r="A3847" s="2" t="s">
        <v>4312</v>
      </c>
      <c r="B3847" s="2" t="s">
        <v>4307</v>
      </c>
      <c r="C3847" s="2" t="s">
        <v>4313</v>
      </c>
      <c r="D3847" s="3" t="str">
        <f t="shared" si="407"/>
        <v>12Go Link</v>
      </c>
      <c r="E3847" s="2" t="s">
        <v>192</v>
      </c>
    </row>
    <row r="3848">
      <c r="A3848" s="2" t="s">
        <v>4312</v>
      </c>
      <c r="B3848" s="2" t="s">
        <v>4307</v>
      </c>
      <c r="C3848" s="2" t="s">
        <v>4313</v>
      </c>
      <c r="D3848" s="3" t="str">
        <f t="shared" si="407"/>
        <v>12Go Link</v>
      </c>
      <c r="E3848" s="2" t="s">
        <v>193</v>
      </c>
    </row>
    <row r="3849">
      <c r="A3849" s="2" t="s">
        <v>4314</v>
      </c>
      <c r="B3849" s="2" t="s">
        <v>4310</v>
      </c>
      <c r="C3849" s="2" t="s">
        <v>4315</v>
      </c>
      <c r="D3849" s="3" t="str">
        <f t="shared" ref="D3849:D3851" si="408">HYPERLINK("https://12go.asia/en/travel/Amersfoort-Transfer/OR-Tambo-International-Airport", "12Go Link")</f>
        <v>12Go Link</v>
      </c>
      <c r="E3849" s="2" t="s">
        <v>191</v>
      </c>
    </row>
    <row r="3850">
      <c r="A3850" s="2" t="s">
        <v>4314</v>
      </c>
      <c r="B3850" s="2" t="s">
        <v>4310</v>
      </c>
      <c r="C3850" s="2" t="s">
        <v>4315</v>
      </c>
      <c r="D3850" s="3" t="str">
        <f t="shared" si="408"/>
        <v>12Go Link</v>
      </c>
      <c r="E3850" s="2" t="s">
        <v>192</v>
      </c>
    </row>
    <row r="3851">
      <c r="A3851" s="2" t="s">
        <v>4314</v>
      </c>
      <c r="B3851" s="2" t="s">
        <v>4310</v>
      </c>
      <c r="C3851" s="2" t="s">
        <v>4315</v>
      </c>
      <c r="D3851" s="3" t="str">
        <f t="shared" si="408"/>
        <v>12Go Link</v>
      </c>
      <c r="E3851" s="2" t="s">
        <v>193</v>
      </c>
    </row>
    <row r="3852">
      <c r="A3852" s="2" t="s">
        <v>4316</v>
      </c>
      <c r="B3852" s="2" t="s">
        <v>4310</v>
      </c>
      <c r="C3852" s="2" t="s">
        <v>4317</v>
      </c>
      <c r="D3852" s="3" t="str">
        <f t="shared" ref="D3852:D3854" si="409">HYPERLINK("https://12go.asia/en/travel/Balfour-Transfer/OR-Tambo-International-Airport", "12Go Link")</f>
        <v>12Go Link</v>
      </c>
      <c r="E3852" s="2" t="s">
        <v>191</v>
      </c>
    </row>
    <row r="3853">
      <c r="A3853" s="2" t="s">
        <v>4316</v>
      </c>
      <c r="B3853" s="2" t="s">
        <v>4310</v>
      </c>
      <c r="C3853" s="2" t="s">
        <v>4317</v>
      </c>
      <c r="D3853" s="3" t="str">
        <f t="shared" si="409"/>
        <v>12Go Link</v>
      </c>
      <c r="E3853" s="2" t="s">
        <v>192</v>
      </c>
    </row>
    <row r="3854">
      <c r="A3854" s="2" t="s">
        <v>4316</v>
      </c>
      <c r="B3854" s="2" t="s">
        <v>4310</v>
      </c>
      <c r="C3854" s="2" t="s">
        <v>4317</v>
      </c>
      <c r="D3854" s="3" t="str">
        <f t="shared" si="409"/>
        <v>12Go Link</v>
      </c>
      <c r="E3854" s="2" t="s">
        <v>193</v>
      </c>
    </row>
    <row r="3855">
      <c r="A3855" s="2" t="s">
        <v>4318</v>
      </c>
      <c r="B3855" s="2" t="s">
        <v>4319</v>
      </c>
      <c r="C3855" s="2" t="s">
        <v>4320</v>
      </c>
      <c r="D3855" s="3" t="str">
        <f t="shared" ref="D3855:D3857" si="410">HYPERLINK("https://12go.asia/en/travel/Ballito-Transfer/Durban-International-Airport", "12Go Link")</f>
        <v>12Go Link</v>
      </c>
      <c r="E3855" s="2" t="s">
        <v>191</v>
      </c>
    </row>
    <row r="3856">
      <c r="A3856" s="2" t="s">
        <v>4318</v>
      </c>
      <c r="B3856" s="2" t="s">
        <v>4319</v>
      </c>
      <c r="C3856" s="2" t="s">
        <v>4320</v>
      </c>
      <c r="D3856" s="3" t="str">
        <f t="shared" si="410"/>
        <v>12Go Link</v>
      </c>
      <c r="E3856" s="2" t="s">
        <v>192</v>
      </c>
    </row>
    <row r="3857">
      <c r="A3857" s="2" t="s">
        <v>4318</v>
      </c>
      <c r="B3857" s="2" t="s">
        <v>4319</v>
      </c>
      <c r="C3857" s="2" t="s">
        <v>4320</v>
      </c>
      <c r="D3857" s="3" t="str">
        <f t="shared" si="410"/>
        <v>12Go Link</v>
      </c>
      <c r="E3857" s="2" t="s">
        <v>193</v>
      </c>
    </row>
    <row r="3858">
      <c r="A3858" s="2" t="s">
        <v>4318</v>
      </c>
      <c r="B3858" s="2" t="s">
        <v>4319</v>
      </c>
      <c r="C3858" s="2" t="s">
        <v>4321</v>
      </c>
      <c r="D3858" s="3" t="str">
        <f t="shared" ref="D3858:D3860" si="411">HYPERLINK("https://12go.asia/en/travel/Dolphin-Coast-Transfer/Durban-International-Airport", "12Go Link")</f>
        <v>12Go Link</v>
      </c>
      <c r="E3858" s="2" t="s">
        <v>191</v>
      </c>
    </row>
    <row r="3859">
      <c r="A3859" s="2" t="s">
        <v>4318</v>
      </c>
      <c r="B3859" s="2" t="s">
        <v>4319</v>
      </c>
      <c r="C3859" s="2" t="s">
        <v>4321</v>
      </c>
      <c r="D3859" s="3" t="str">
        <f t="shared" si="411"/>
        <v>12Go Link</v>
      </c>
      <c r="E3859" s="2" t="s">
        <v>192</v>
      </c>
    </row>
    <row r="3860">
      <c r="A3860" s="2" t="s">
        <v>4318</v>
      </c>
      <c r="B3860" s="2" t="s">
        <v>4319</v>
      </c>
      <c r="C3860" s="2" t="s">
        <v>4321</v>
      </c>
      <c r="D3860" s="3" t="str">
        <f t="shared" si="411"/>
        <v>12Go Link</v>
      </c>
      <c r="E3860" s="2" t="s">
        <v>193</v>
      </c>
    </row>
    <row r="3861">
      <c r="A3861" s="2" t="s">
        <v>4318</v>
      </c>
      <c r="B3861" s="2" t="s">
        <v>4319</v>
      </c>
      <c r="C3861" s="2" t="s">
        <v>4322</v>
      </c>
      <c r="D3861" s="3" t="str">
        <f t="shared" ref="D3861:D3863" si="412">HYPERLINK("https://12go.asia/en/travel/Zimbali-Estate-Transfer/Durban-International-Airport", "12Go Link")</f>
        <v>12Go Link</v>
      </c>
      <c r="E3861" s="2" t="s">
        <v>191</v>
      </c>
    </row>
    <row r="3862">
      <c r="A3862" s="2" t="s">
        <v>4318</v>
      </c>
      <c r="B3862" s="2" t="s">
        <v>4319</v>
      </c>
      <c r="C3862" s="2" t="s">
        <v>4322</v>
      </c>
      <c r="D3862" s="3" t="str">
        <f t="shared" si="412"/>
        <v>12Go Link</v>
      </c>
      <c r="E3862" s="2" t="s">
        <v>192</v>
      </c>
    </row>
    <row r="3863">
      <c r="A3863" s="2" t="s">
        <v>4318</v>
      </c>
      <c r="B3863" s="2" t="s">
        <v>4319</v>
      </c>
      <c r="C3863" s="2" t="s">
        <v>4322</v>
      </c>
      <c r="D3863" s="3" t="str">
        <f t="shared" si="412"/>
        <v>12Go Link</v>
      </c>
      <c r="E3863" s="2" t="s">
        <v>193</v>
      </c>
    </row>
    <row r="3864">
      <c r="A3864" s="2" t="s">
        <v>4323</v>
      </c>
      <c r="B3864" s="2" t="s">
        <v>4310</v>
      </c>
      <c r="C3864" s="2" t="s">
        <v>4324</v>
      </c>
      <c r="D3864" s="3" t="str">
        <f t="shared" ref="D3864:D3866" si="413">HYPERLINK("https://12go.asia/en/travel/Barberton-Transfer/OR-Tambo-International-Airport", "12Go Link")</f>
        <v>12Go Link</v>
      </c>
      <c r="E3864" s="2" t="s">
        <v>191</v>
      </c>
    </row>
    <row r="3865">
      <c r="A3865" s="2" t="s">
        <v>4323</v>
      </c>
      <c r="B3865" s="2" t="s">
        <v>4310</v>
      </c>
      <c r="C3865" s="2" t="s">
        <v>4324</v>
      </c>
      <c r="D3865" s="3" t="str">
        <f t="shared" si="413"/>
        <v>12Go Link</v>
      </c>
      <c r="E3865" s="2" t="s">
        <v>192</v>
      </c>
    </row>
    <row r="3866">
      <c r="A3866" s="2" t="s">
        <v>4323</v>
      </c>
      <c r="B3866" s="2" t="s">
        <v>4310</v>
      </c>
      <c r="C3866" s="2" t="s">
        <v>4324</v>
      </c>
      <c r="D3866" s="3" t="str">
        <f t="shared" si="413"/>
        <v>12Go Link</v>
      </c>
      <c r="E3866" s="2" t="s">
        <v>193</v>
      </c>
    </row>
    <row r="3867">
      <c r="A3867" s="2" t="s">
        <v>4325</v>
      </c>
      <c r="B3867" s="2" t="s">
        <v>4310</v>
      </c>
      <c r="C3867" s="2" t="s">
        <v>4326</v>
      </c>
      <c r="D3867" s="3" t="str">
        <f t="shared" ref="D3867:D3869" si="414">HYPERLINK("https://12go.asia/en/travel/Bela-Bela-Transfer/OR-Tambo-International-Airport", "12Go Link")</f>
        <v>12Go Link</v>
      </c>
      <c r="E3867" s="2" t="s">
        <v>191</v>
      </c>
    </row>
    <row r="3868">
      <c r="A3868" s="2" t="s">
        <v>4325</v>
      </c>
      <c r="B3868" s="2" t="s">
        <v>4310</v>
      </c>
      <c r="C3868" s="2" t="s">
        <v>4326</v>
      </c>
      <c r="D3868" s="3" t="str">
        <f t="shared" si="414"/>
        <v>12Go Link</v>
      </c>
      <c r="E3868" s="2" t="s">
        <v>192</v>
      </c>
    </row>
    <row r="3869">
      <c r="A3869" s="2" t="s">
        <v>4325</v>
      </c>
      <c r="B3869" s="2" t="s">
        <v>4310</v>
      </c>
      <c r="C3869" s="2" t="s">
        <v>4326</v>
      </c>
      <c r="D3869" s="3" t="str">
        <f t="shared" si="414"/>
        <v>12Go Link</v>
      </c>
      <c r="E3869" s="2" t="s">
        <v>193</v>
      </c>
    </row>
    <row r="3870">
      <c r="A3870" s="2" t="s">
        <v>4325</v>
      </c>
      <c r="B3870" s="2" t="s">
        <v>4310</v>
      </c>
      <c r="C3870" s="2" t="s">
        <v>4327</v>
      </c>
      <c r="D3870" s="3" t="str">
        <f t="shared" ref="D3870:D3872" si="415">HYPERLINK("https://12go.asia/en/travel/Mabula-Game-Lodge-Transfer/OR-Tambo-International-Airport", "12Go Link")</f>
        <v>12Go Link</v>
      </c>
      <c r="E3870" s="2" t="s">
        <v>191</v>
      </c>
    </row>
    <row r="3871">
      <c r="A3871" s="2" t="s">
        <v>4325</v>
      </c>
      <c r="B3871" s="2" t="s">
        <v>4310</v>
      </c>
      <c r="C3871" s="2" t="s">
        <v>4327</v>
      </c>
      <c r="D3871" s="3" t="str">
        <f t="shared" si="415"/>
        <v>12Go Link</v>
      </c>
      <c r="E3871" s="2" t="s">
        <v>192</v>
      </c>
    </row>
    <row r="3872">
      <c r="A3872" s="2" t="s">
        <v>4325</v>
      </c>
      <c r="B3872" s="2" t="s">
        <v>4310</v>
      </c>
      <c r="C3872" s="2" t="s">
        <v>4327</v>
      </c>
      <c r="D3872" s="3" t="str">
        <f t="shared" si="415"/>
        <v>12Go Link</v>
      </c>
      <c r="E3872" s="2" t="s">
        <v>193</v>
      </c>
    </row>
    <row r="3873">
      <c r="A3873" s="2" t="s">
        <v>4325</v>
      </c>
      <c r="B3873" s="2" t="s">
        <v>4310</v>
      </c>
      <c r="C3873" s="2" t="s">
        <v>4328</v>
      </c>
      <c r="D3873" s="3" t="str">
        <f t="shared" ref="D3873:D3875" si="416">HYPERLINK("https://12go.asia/en/travel/Sondela-Lodge-&amp;-Spa-Transfer/OR-Tambo-International-Airport", "12Go Link")</f>
        <v>12Go Link</v>
      </c>
      <c r="E3873" s="2" t="s">
        <v>191</v>
      </c>
    </row>
    <row r="3874">
      <c r="A3874" s="2" t="s">
        <v>4325</v>
      </c>
      <c r="B3874" s="2" t="s">
        <v>4310</v>
      </c>
      <c r="C3874" s="2" t="s">
        <v>4328</v>
      </c>
      <c r="D3874" s="3" t="str">
        <f t="shared" si="416"/>
        <v>12Go Link</v>
      </c>
      <c r="E3874" s="2" t="s">
        <v>192</v>
      </c>
    </row>
    <row r="3875">
      <c r="A3875" s="2" t="s">
        <v>4325</v>
      </c>
      <c r="B3875" s="2" t="s">
        <v>4310</v>
      </c>
      <c r="C3875" s="2" t="s">
        <v>4328</v>
      </c>
      <c r="D3875" s="3" t="str">
        <f t="shared" si="416"/>
        <v>12Go Link</v>
      </c>
      <c r="E3875" s="2" t="s">
        <v>193</v>
      </c>
    </row>
    <row r="3876">
      <c r="A3876" s="2" t="s">
        <v>4325</v>
      </c>
      <c r="B3876" s="2" t="s">
        <v>4310</v>
      </c>
      <c r="C3876" s="2" t="s">
        <v>4329</v>
      </c>
      <c r="D3876" s="3" t="str">
        <f t="shared" ref="D3876:D3878" si="417">HYPERLINK("https://12go.asia/en/travel/Zebula-Golf-&amp;-Spa-Transfer/OR-Tambo-International-Airport", "12Go Link")</f>
        <v>12Go Link</v>
      </c>
      <c r="E3876" s="2" t="s">
        <v>191</v>
      </c>
    </row>
    <row r="3877">
      <c r="A3877" s="2" t="s">
        <v>4325</v>
      </c>
      <c r="B3877" s="2" t="s">
        <v>4310</v>
      </c>
      <c r="C3877" s="2" t="s">
        <v>4329</v>
      </c>
      <c r="D3877" s="3" t="str">
        <f t="shared" si="417"/>
        <v>12Go Link</v>
      </c>
      <c r="E3877" s="2" t="s">
        <v>192</v>
      </c>
    </row>
    <row r="3878">
      <c r="A3878" s="2" t="s">
        <v>4325</v>
      </c>
      <c r="B3878" s="2" t="s">
        <v>4310</v>
      </c>
      <c r="C3878" s="2" t="s">
        <v>4329</v>
      </c>
      <c r="D3878" s="3" t="str">
        <f t="shared" si="417"/>
        <v>12Go Link</v>
      </c>
      <c r="E3878" s="2" t="s">
        <v>193</v>
      </c>
    </row>
    <row r="3879">
      <c r="A3879" s="2" t="s">
        <v>4330</v>
      </c>
      <c r="B3879" s="2" t="s">
        <v>4331</v>
      </c>
      <c r="C3879" s="2" t="s">
        <v>4332</v>
      </c>
      <c r="D3879" s="3" t="str">
        <f t="shared" ref="D3879:D3881" si="418">HYPERLINK("https://12go.asia/en/travel/Belville-Transfer/Cape-Town-International-Airport", "12Go Link")</f>
        <v>12Go Link</v>
      </c>
      <c r="E3879" s="2" t="s">
        <v>191</v>
      </c>
    </row>
    <row r="3880">
      <c r="A3880" s="2" t="s">
        <v>4330</v>
      </c>
      <c r="B3880" s="2" t="s">
        <v>4331</v>
      </c>
      <c r="C3880" s="2" t="s">
        <v>4332</v>
      </c>
      <c r="D3880" s="3" t="str">
        <f t="shared" si="418"/>
        <v>12Go Link</v>
      </c>
      <c r="E3880" s="2" t="s">
        <v>192</v>
      </c>
    </row>
    <row r="3881">
      <c r="A3881" s="2" t="s">
        <v>4330</v>
      </c>
      <c r="B3881" s="2" t="s">
        <v>4331</v>
      </c>
      <c r="C3881" s="2" t="s">
        <v>4332</v>
      </c>
      <c r="D3881" s="3" t="str">
        <f t="shared" si="418"/>
        <v>12Go Link</v>
      </c>
      <c r="E3881" s="2" t="s">
        <v>193</v>
      </c>
    </row>
    <row r="3882">
      <c r="A3882" s="2" t="s">
        <v>4330</v>
      </c>
      <c r="B3882" s="2" t="s">
        <v>4331</v>
      </c>
      <c r="C3882" s="2" t="s">
        <v>4333</v>
      </c>
      <c r="D3882" s="3" t="str">
        <f t="shared" ref="D3882:D3884" si="419">HYPERLINK("https://12go.asia/en/travel/Boston-Transfer/Cape-Town-International-Airport", "12Go Link")</f>
        <v>12Go Link</v>
      </c>
      <c r="E3882" s="2" t="s">
        <v>191</v>
      </c>
    </row>
    <row r="3883">
      <c r="A3883" s="2" t="s">
        <v>4330</v>
      </c>
      <c r="B3883" s="2" t="s">
        <v>4331</v>
      </c>
      <c r="C3883" s="2" t="s">
        <v>4333</v>
      </c>
      <c r="D3883" s="3" t="str">
        <f t="shared" si="419"/>
        <v>12Go Link</v>
      </c>
      <c r="E3883" s="2" t="s">
        <v>192</v>
      </c>
    </row>
    <row r="3884">
      <c r="A3884" s="2" t="s">
        <v>4330</v>
      </c>
      <c r="B3884" s="2" t="s">
        <v>4331</v>
      </c>
      <c r="C3884" s="2" t="s">
        <v>4333</v>
      </c>
      <c r="D3884" s="3" t="str">
        <f t="shared" si="419"/>
        <v>12Go Link</v>
      </c>
      <c r="E3884" s="2" t="s">
        <v>193</v>
      </c>
    </row>
    <row r="3885">
      <c r="A3885" s="2" t="s">
        <v>4334</v>
      </c>
      <c r="B3885" s="2" t="s">
        <v>4310</v>
      </c>
      <c r="C3885" s="2" t="s">
        <v>4335</v>
      </c>
      <c r="D3885" s="3" t="str">
        <f t="shared" ref="D3885:D3887" si="420">HYPERLINK("https://12go.asia/en/travel/Benoni-Transfer/OR-Tambo-International-Airport", "12Go Link")</f>
        <v>12Go Link</v>
      </c>
      <c r="E3885" s="2" t="s">
        <v>191</v>
      </c>
    </row>
    <row r="3886">
      <c r="A3886" s="2" t="s">
        <v>4334</v>
      </c>
      <c r="B3886" s="2" t="s">
        <v>4310</v>
      </c>
      <c r="C3886" s="2" t="s">
        <v>4335</v>
      </c>
      <c r="D3886" s="3" t="str">
        <f t="shared" si="420"/>
        <v>12Go Link</v>
      </c>
      <c r="E3886" s="2" t="s">
        <v>192</v>
      </c>
    </row>
    <row r="3887">
      <c r="A3887" s="2" t="s">
        <v>4334</v>
      </c>
      <c r="B3887" s="2" t="s">
        <v>4310</v>
      </c>
      <c r="C3887" s="2" t="s">
        <v>4335</v>
      </c>
      <c r="D3887" s="3" t="str">
        <f t="shared" si="420"/>
        <v>12Go Link</v>
      </c>
      <c r="E3887" s="2" t="s">
        <v>193</v>
      </c>
    </row>
    <row r="3888">
      <c r="A3888" s="2" t="s">
        <v>4336</v>
      </c>
      <c r="B3888" s="2" t="s">
        <v>4310</v>
      </c>
      <c r="C3888" s="2" t="s">
        <v>4337</v>
      </c>
      <c r="D3888" s="3" t="str">
        <f t="shared" ref="D3888:D3890" si="421">HYPERLINK("https://12go.asia/en/travel/Bethal-Transfer/OR-Tambo-International-Airport", "12Go Link")</f>
        <v>12Go Link</v>
      </c>
      <c r="E3888" s="2" t="s">
        <v>191</v>
      </c>
    </row>
    <row r="3889">
      <c r="A3889" s="2" t="s">
        <v>4336</v>
      </c>
      <c r="B3889" s="2" t="s">
        <v>4310</v>
      </c>
      <c r="C3889" s="2" t="s">
        <v>4337</v>
      </c>
      <c r="D3889" s="3" t="str">
        <f t="shared" si="421"/>
        <v>12Go Link</v>
      </c>
      <c r="E3889" s="2" t="s">
        <v>192</v>
      </c>
    </row>
    <row r="3890">
      <c r="A3890" s="2" t="s">
        <v>4336</v>
      </c>
      <c r="B3890" s="2" t="s">
        <v>4310</v>
      </c>
      <c r="C3890" s="2" t="s">
        <v>4337</v>
      </c>
      <c r="D3890" s="3" t="str">
        <f t="shared" si="421"/>
        <v>12Go Link</v>
      </c>
      <c r="E3890" s="2" t="s">
        <v>193</v>
      </c>
    </row>
    <row r="3891">
      <c r="A3891" s="2" t="s">
        <v>4338</v>
      </c>
      <c r="B3891" s="2" t="s">
        <v>4310</v>
      </c>
      <c r="C3891" s="2" t="s">
        <v>4339</v>
      </c>
      <c r="D3891" s="3" t="str">
        <f t="shared" ref="D3891:D3893" si="422">HYPERLINK("https://12go.asia/en/travel/Boksburg-Transfer/OR-Tambo-International-Airport", "12Go Link")</f>
        <v>12Go Link</v>
      </c>
      <c r="E3891" s="2" t="s">
        <v>191</v>
      </c>
    </row>
    <row r="3892">
      <c r="A3892" s="2" t="s">
        <v>4338</v>
      </c>
      <c r="B3892" s="2" t="s">
        <v>4310</v>
      </c>
      <c r="C3892" s="2" t="s">
        <v>4339</v>
      </c>
      <c r="D3892" s="3" t="str">
        <f t="shared" si="422"/>
        <v>12Go Link</v>
      </c>
      <c r="E3892" s="2" t="s">
        <v>192</v>
      </c>
    </row>
    <row r="3893">
      <c r="A3893" s="2" t="s">
        <v>4338</v>
      </c>
      <c r="B3893" s="2" t="s">
        <v>4310</v>
      </c>
      <c r="C3893" s="2" t="s">
        <v>4339</v>
      </c>
      <c r="D3893" s="3" t="str">
        <f t="shared" si="422"/>
        <v>12Go Link</v>
      </c>
      <c r="E3893" s="2" t="s">
        <v>193</v>
      </c>
    </row>
    <row r="3894">
      <c r="A3894" s="2" t="s">
        <v>4340</v>
      </c>
      <c r="B3894" s="2" t="s">
        <v>4310</v>
      </c>
      <c r="C3894" s="2" t="s">
        <v>4341</v>
      </c>
      <c r="D3894" s="3" t="str">
        <f t="shared" ref="D3894:D3896" si="423">HYPERLINK("https://12go.asia/en/travel/Breyten-Transfer/OR-Tambo-International-Airport", "12Go Link")</f>
        <v>12Go Link</v>
      </c>
      <c r="E3894" s="2" t="s">
        <v>191</v>
      </c>
    </row>
    <row r="3895">
      <c r="A3895" s="2" t="s">
        <v>4340</v>
      </c>
      <c r="B3895" s="2" t="s">
        <v>4310</v>
      </c>
      <c r="C3895" s="2" t="s">
        <v>4341</v>
      </c>
      <c r="D3895" s="3" t="str">
        <f t="shared" si="423"/>
        <v>12Go Link</v>
      </c>
      <c r="E3895" s="2" t="s">
        <v>192</v>
      </c>
    </row>
    <row r="3896">
      <c r="A3896" s="2" t="s">
        <v>4340</v>
      </c>
      <c r="B3896" s="2" t="s">
        <v>4310</v>
      </c>
      <c r="C3896" s="2" t="s">
        <v>4341</v>
      </c>
      <c r="D3896" s="3" t="str">
        <f t="shared" si="423"/>
        <v>12Go Link</v>
      </c>
      <c r="E3896" s="2" t="s">
        <v>193</v>
      </c>
    </row>
    <row r="3897">
      <c r="A3897" s="2" t="s">
        <v>4342</v>
      </c>
      <c r="B3897" s="2" t="s">
        <v>4310</v>
      </c>
      <c r="C3897" s="2" t="s">
        <v>4343</v>
      </c>
      <c r="D3897" s="3" t="str">
        <f t="shared" ref="D3897:D3899" si="424">HYPERLINK("https://12go.asia/en/travel/Bushbuckridge-Transfer/OR-Tambo-International-Airport", "12Go Link")</f>
        <v>12Go Link</v>
      </c>
      <c r="E3897" s="2" t="s">
        <v>191</v>
      </c>
    </row>
    <row r="3898">
      <c r="A3898" s="2" t="s">
        <v>4342</v>
      </c>
      <c r="B3898" s="2" t="s">
        <v>4310</v>
      </c>
      <c r="C3898" s="2" t="s">
        <v>4343</v>
      </c>
      <c r="D3898" s="3" t="str">
        <f t="shared" si="424"/>
        <v>12Go Link</v>
      </c>
      <c r="E3898" s="2" t="s">
        <v>192</v>
      </c>
    </row>
    <row r="3899">
      <c r="A3899" s="2" t="s">
        <v>4342</v>
      </c>
      <c r="B3899" s="2" t="s">
        <v>4310</v>
      </c>
      <c r="C3899" s="2" t="s">
        <v>4343</v>
      </c>
      <c r="D3899" s="3" t="str">
        <f t="shared" si="424"/>
        <v>12Go Link</v>
      </c>
      <c r="E3899" s="2" t="s">
        <v>193</v>
      </c>
    </row>
    <row r="3900">
      <c r="A3900" s="2" t="s">
        <v>4331</v>
      </c>
      <c r="B3900" s="2" t="s">
        <v>4330</v>
      </c>
      <c r="C3900" s="2" t="s">
        <v>4344</v>
      </c>
      <c r="D3900" s="3" t="str">
        <f t="shared" ref="D3900:D3902" si="425">HYPERLINK("https://12go.asia/en/travel/Cape-Town-International-Airport/Belville-Transfer", "12Go Link")</f>
        <v>12Go Link</v>
      </c>
      <c r="E3900" s="2" t="s">
        <v>191</v>
      </c>
    </row>
    <row r="3901">
      <c r="A3901" s="2" t="s">
        <v>4331</v>
      </c>
      <c r="B3901" s="2" t="s">
        <v>4330</v>
      </c>
      <c r="C3901" s="2" t="s">
        <v>4344</v>
      </c>
      <c r="D3901" s="3" t="str">
        <f t="shared" si="425"/>
        <v>12Go Link</v>
      </c>
      <c r="E3901" s="2" t="s">
        <v>192</v>
      </c>
    </row>
    <row r="3902">
      <c r="A3902" s="2" t="s">
        <v>4331</v>
      </c>
      <c r="B3902" s="2" t="s">
        <v>4330</v>
      </c>
      <c r="C3902" s="2" t="s">
        <v>4344</v>
      </c>
      <c r="D3902" s="3" t="str">
        <f t="shared" si="425"/>
        <v>12Go Link</v>
      </c>
      <c r="E3902" s="2" t="s">
        <v>193</v>
      </c>
    </row>
    <row r="3903">
      <c r="A3903" s="2" t="s">
        <v>4331</v>
      </c>
      <c r="B3903" s="2" t="s">
        <v>4330</v>
      </c>
      <c r="C3903" s="2" t="s">
        <v>4345</v>
      </c>
      <c r="D3903" s="3" t="str">
        <f t="shared" ref="D3903:D3905" si="426">HYPERLINK("https://12go.asia/en/travel/Cape-Town-International-Airport/Boston-Transfer", "12Go Link")</f>
        <v>12Go Link</v>
      </c>
      <c r="E3903" s="2" t="s">
        <v>191</v>
      </c>
    </row>
    <row r="3904">
      <c r="A3904" s="2" t="s">
        <v>4331</v>
      </c>
      <c r="B3904" s="2" t="s">
        <v>4330</v>
      </c>
      <c r="C3904" s="2" t="s">
        <v>4345</v>
      </c>
      <c r="D3904" s="3" t="str">
        <f t="shared" si="426"/>
        <v>12Go Link</v>
      </c>
      <c r="E3904" s="2" t="s">
        <v>192</v>
      </c>
    </row>
    <row r="3905">
      <c r="A3905" s="2" t="s">
        <v>4331</v>
      </c>
      <c r="B3905" s="2" t="s">
        <v>4330</v>
      </c>
      <c r="C3905" s="2" t="s">
        <v>4345</v>
      </c>
      <c r="D3905" s="3" t="str">
        <f t="shared" si="426"/>
        <v>12Go Link</v>
      </c>
      <c r="E3905" s="2" t="s">
        <v>193</v>
      </c>
    </row>
    <row r="3906">
      <c r="A3906" s="2" t="s">
        <v>4331</v>
      </c>
      <c r="B3906" s="2" t="s">
        <v>4331</v>
      </c>
      <c r="C3906" s="2" t="s">
        <v>4346</v>
      </c>
      <c r="D3906" s="3" t="str">
        <f t="shared" ref="D3906:D3908" si="427">HYPERLINK("https://12go.asia/en/travel/Acasia-Park-Transfer/Cape-Town-International-Airport", "12Go Link")</f>
        <v>12Go Link</v>
      </c>
      <c r="E3906" s="2" t="s">
        <v>191</v>
      </c>
    </row>
    <row r="3907">
      <c r="A3907" s="2" t="s">
        <v>4331</v>
      </c>
      <c r="B3907" s="2" t="s">
        <v>4331</v>
      </c>
      <c r="C3907" s="2" t="s">
        <v>4346</v>
      </c>
      <c r="D3907" s="3" t="str">
        <f t="shared" si="427"/>
        <v>12Go Link</v>
      </c>
      <c r="E3907" s="2" t="s">
        <v>192</v>
      </c>
    </row>
    <row r="3908">
      <c r="A3908" s="2" t="s">
        <v>4331</v>
      </c>
      <c r="B3908" s="2" t="s">
        <v>4331</v>
      </c>
      <c r="C3908" s="2" t="s">
        <v>4346</v>
      </c>
      <c r="D3908" s="3" t="str">
        <f t="shared" si="427"/>
        <v>12Go Link</v>
      </c>
      <c r="E3908" s="2" t="s">
        <v>193</v>
      </c>
    </row>
    <row r="3909">
      <c r="A3909" s="2" t="s">
        <v>4331</v>
      </c>
      <c r="B3909" s="2" t="s">
        <v>4331</v>
      </c>
      <c r="C3909" s="2" t="s">
        <v>4347</v>
      </c>
      <c r="D3909" s="3" t="str">
        <f t="shared" ref="D3909:D3911" si="428">HYPERLINK("https://12go.asia/en/travel/Athlone-Transfer/Cape-Town-International-Airport", "12Go Link")</f>
        <v>12Go Link</v>
      </c>
      <c r="E3909" s="2" t="s">
        <v>191</v>
      </c>
    </row>
    <row r="3910">
      <c r="A3910" s="2" t="s">
        <v>4331</v>
      </c>
      <c r="B3910" s="2" t="s">
        <v>4331</v>
      </c>
      <c r="C3910" s="2" t="s">
        <v>4347</v>
      </c>
      <c r="D3910" s="3" t="str">
        <f t="shared" si="428"/>
        <v>12Go Link</v>
      </c>
      <c r="E3910" s="2" t="s">
        <v>192</v>
      </c>
    </row>
    <row r="3911">
      <c r="A3911" s="2" t="s">
        <v>4331</v>
      </c>
      <c r="B3911" s="2" t="s">
        <v>4331</v>
      </c>
      <c r="C3911" s="2" t="s">
        <v>4347</v>
      </c>
      <c r="D3911" s="3" t="str">
        <f t="shared" si="428"/>
        <v>12Go Link</v>
      </c>
      <c r="E3911" s="2" t="s">
        <v>193</v>
      </c>
    </row>
    <row r="3912">
      <c r="A3912" s="2" t="s">
        <v>4331</v>
      </c>
      <c r="B3912" s="2" t="s">
        <v>4331</v>
      </c>
      <c r="C3912" s="2" t="s">
        <v>4348</v>
      </c>
      <c r="D3912" s="3" t="str">
        <f t="shared" ref="D3912:D3914" si="429">HYPERLINK("https://12go.asia/en/travel/Bakoven-Transfer/Cape-Town-International-Airport", "12Go Link")</f>
        <v>12Go Link</v>
      </c>
      <c r="E3912" s="2" t="s">
        <v>191</v>
      </c>
    </row>
    <row r="3913">
      <c r="A3913" s="2" t="s">
        <v>4331</v>
      </c>
      <c r="B3913" s="2" t="s">
        <v>4331</v>
      </c>
      <c r="C3913" s="2" t="s">
        <v>4348</v>
      </c>
      <c r="D3913" s="3" t="str">
        <f t="shared" si="429"/>
        <v>12Go Link</v>
      </c>
      <c r="E3913" s="2" t="s">
        <v>192</v>
      </c>
    </row>
    <row r="3914">
      <c r="A3914" s="2" t="s">
        <v>4331</v>
      </c>
      <c r="B3914" s="2" t="s">
        <v>4331</v>
      </c>
      <c r="C3914" s="2" t="s">
        <v>4348</v>
      </c>
      <c r="D3914" s="3" t="str">
        <f t="shared" si="429"/>
        <v>12Go Link</v>
      </c>
      <c r="E3914" s="2" t="s">
        <v>193</v>
      </c>
    </row>
    <row r="3915">
      <c r="A3915" s="2" t="s">
        <v>4331</v>
      </c>
      <c r="B3915" s="2" t="s">
        <v>4331</v>
      </c>
      <c r="C3915" s="2" t="s">
        <v>4349</v>
      </c>
      <c r="D3915" s="3" t="str">
        <f t="shared" ref="D3915:D3917" si="430">HYPERLINK("https://12go.asia/en/travel/Bantry-Bay-Transfer/Cape-Town-International-Airport", "12Go Link")</f>
        <v>12Go Link</v>
      </c>
      <c r="E3915" s="2" t="s">
        <v>191</v>
      </c>
    </row>
    <row r="3916">
      <c r="A3916" s="2" t="s">
        <v>4331</v>
      </c>
      <c r="B3916" s="2" t="s">
        <v>4331</v>
      </c>
      <c r="C3916" s="2" t="s">
        <v>4349</v>
      </c>
      <c r="D3916" s="3" t="str">
        <f t="shared" si="430"/>
        <v>12Go Link</v>
      </c>
      <c r="E3916" s="2" t="s">
        <v>192</v>
      </c>
    </row>
    <row r="3917">
      <c r="A3917" s="2" t="s">
        <v>4331</v>
      </c>
      <c r="B3917" s="2" t="s">
        <v>4331</v>
      </c>
      <c r="C3917" s="2" t="s">
        <v>4349</v>
      </c>
      <c r="D3917" s="3" t="str">
        <f t="shared" si="430"/>
        <v>12Go Link</v>
      </c>
      <c r="E3917" s="2" t="s">
        <v>193</v>
      </c>
    </row>
    <row r="3918">
      <c r="A3918" s="2" t="s">
        <v>4331</v>
      </c>
      <c r="B3918" s="2" t="s">
        <v>4331</v>
      </c>
      <c r="C3918" s="2" t="s">
        <v>4350</v>
      </c>
      <c r="D3918" s="3" t="str">
        <f t="shared" ref="D3918:D3920" si="431">HYPERLINK("https://12go.asia/en/travel/Bergvliet-Transfer/Cape-Town-International-Airport", "12Go Link")</f>
        <v>12Go Link</v>
      </c>
      <c r="E3918" s="2" t="s">
        <v>191</v>
      </c>
    </row>
    <row r="3919">
      <c r="A3919" s="2" t="s">
        <v>4331</v>
      </c>
      <c r="B3919" s="2" t="s">
        <v>4331</v>
      </c>
      <c r="C3919" s="2" t="s">
        <v>4350</v>
      </c>
      <c r="D3919" s="3" t="str">
        <f t="shared" si="431"/>
        <v>12Go Link</v>
      </c>
      <c r="E3919" s="2" t="s">
        <v>192</v>
      </c>
    </row>
    <row r="3920">
      <c r="A3920" s="2" t="s">
        <v>4331</v>
      </c>
      <c r="B3920" s="2" t="s">
        <v>4331</v>
      </c>
      <c r="C3920" s="2" t="s">
        <v>4350</v>
      </c>
      <c r="D3920" s="3" t="str">
        <f t="shared" si="431"/>
        <v>12Go Link</v>
      </c>
      <c r="E3920" s="2" t="s">
        <v>193</v>
      </c>
    </row>
    <row r="3921">
      <c r="A3921" s="2" t="s">
        <v>4331</v>
      </c>
      <c r="B3921" s="2" t="s">
        <v>4331</v>
      </c>
      <c r="C3921" s="2" t="s">
        <v>4351</v>
      </c>
      <c r="D3921" s="3" t="str">
        <f t="shared" ref="D3921:D3923" si="432">HYPERLINK("https://12go.asia/en/travel/Bishops-Court-Transfer/Cape-Town-International-Airport", "12Go Link")</f>
        <v>12Go Link</v>
      </c>
      <c r="E3921" s="2" t="s">
        <v>191</v>
      </c>
    </row>
    <row r="3922">
      <c r="A3922" s="2" t="s">
        <v>4331</v>
      </c>
      <c r="B3922" s="2" t="s">
        <v>4331</v>
      </c>
      <c r="C3922" s="2" t="s">
        <v>4351</v>
      </c>
      <c r="D3922" s="3" t="str">
        <f t="shared" si="432"/>
        <v>12Go Link</v>
      </c>
      <c r="E3922" s="2" t="s">
        <v>192</v>
      </c>
    </row>
    <row r="3923">
      <c r="A3923" s="2" t="s">
        <v>4331</v>
      </c>
      <c r="B3923" s="2" t="s">
        <v>4331</v>
      </c>
      <c r="C3923" s="2" t="s">
        <v>4351</v>
      </c>
      <c r="D3923" s="3" t="str">
        <f t="shared" si="432"/>
        <v>12Go Link</v>
      </c>
      <c r="E3923" s="2" t="s">
        <v>193</v>
      </c>
    </row>
    <row r="3924">
      <c r="A3924" s="2" t="s">
        <v>4331</v>
      </c>
      <c r="B3924" s="2" t="s">
        <v>4331</v>
      </c>
      <c r="C3924" s="2" t="s">
        <v>4352</v>
      </c>
      <c r="D3924" s="3" t="str">
        <f t="shared" ref="D3924:D3926" si="433">HYPERLINK("https://12go.asia/en/travel/Blouberg-Strand-Transfer/Cape-Town-International-Airport", "12Go Link")</f>
        <v>12Go Link</v>
      </c>
      <c r="E3924" s="2" t="s">
        <v>191</v>
      </c>
    </row>
    <row r="3925">
      <c r="A3925" s="2" t="s">
        <v>4331</v>
      </c>
      <c r="B3925" s="2" t="s">
        <v>4331</v>
      </c>
      <c r="C3925" s="2" t="s">
        <v>4352</v>
      </c>
      <c r="D3925" s="3" t="str">
        <f t="shared" si="433"/>
        <v>12Go Link</v>
      </c>
      <c r="E3925" s="2" t="s">
        <v>192</v>
      </c>
    </row>
    <row r="3926">
      <c r="A3926" s="2" t="s">
        <v>4331</v>
      </c>
      <c r="B3926" s="2" t="s">
        <v>4331</v>
      </c>
      <c r="C3926" s="2" t="s">
        <v>4352</v>
      </c>
      <c r="D3926" s="3" t="str">
        <f t="shared" si="433"/>
        <v>12Go Link</v>
      </c>
      <c r="E3926" s="2" t="s">
        <v>193</v>
      </c>
    </row>
    <row r="3927">
      <c r="A3927" s="2" t="s">
        <v>4331</v>
      </c>
      <c r="B3927" s="2" t="s">
        <v>4331</v>
      </c>
      <c r="C3927" s="2" t="s">
        <v>4353</v>
      </c>
      <c r="D3927" s="3" t="str">
        <f t="shared" ref="D3927:D3929" si="434">HYPERLINK("https://12go.asia/en/travel/Brackenfell-Transfer/Cape-Town-International-Airport", "12Go Link")</f>
        <v>12Go Link</v>
      </c>
      <c r="E3927" s="2" t="s">
        <v>191</v>
      </c>
    </row>
    <row r="3928">
      <c r="A3928" s="2" t="s">
        <v>4331</v>
      </c>
      <c r="B3928" s="2" t="s">
        <v>4331</v>
      </c>
      <c r="C3928" s="2" t="s">
        <v>4353</v>
      </c>
      <c r="D3928" s="3" t="str">
        <f t="shared" si="434"/>
        <v>12Go Link</v>
      </c>
      <c r="E3928" s="2" t="s">
        <v>192</v>
      </c>
    </row>
    <row r="3929">
      <c r="A3929" s="2" t="s">
        <v>4331</v>
      </c>
      <c r="B3929" s="2" t="s">
        <v>4331</v>
      </c>
      <c r="C3929" s="2" t="s">
        <v>4353</v>
      </c>
      <c r="D3929" s="3" t="str">
        <f t="shared" si="434"/>
        <v>12Go Link</v>
      </c>
      <c r="E3929" s="2" t="s">
        <v>193</v>
      </c>
    </row>
    <row r="3930">
      <c r="A3930" s="2" t="s">
        <v>4331</v>
      </c>
      <c r="B3930" s="2" t="s">
        <v>4331</v>
      </c>
      <c r="C3930" s="2" t="s">
        <v>4354</v>
      </c>
      <c r="D3930" s="3" t="str">
        <f t="shared" ref="D3930:D3932" si="435">HYPERLINK("https://12go.asia/en/travel/Camps-Bay-Transfer/Cape-Town-International-Airport", "12Go Link")</f>
        <v>12Go Link</v>
      </c>
      <c r="E3930" s="2" t="s">
        <v>191</v>
      </c>
    </row>
    <row r="3931">
      <c r="A3931" s="2" t="s">
        <v>4331</v>
      </c>
      <c r="B3931" s="2" t="s">
        <v>4331</v>
      </c>
      <c r="C3931" s="2" t="s">
        <v>4354</v>
      </c>
      <c r="D3931" s="3" t="str">
        <f t="shared" si="435"/>
        <v>12Go Link</v>
      </c>
      <c r="E3931" s="2" t="s">
        <v>192</v>
      </c>
    </row>
    <row r="3932">
      <c r="A3932" s="2" t="s">
        <v>4331</v>
      </c>
      <c r="B3932" s="2" t="s">
        <v>4331</v>
      </c>
      <c r="C3932" s="2" t="s">
        <v>4354</v>
      </c>
      <c r="D3932" s="3" t="str">
        <f t="shared" si="435"/>
        <v>12Go Link</v>
      </c>
      <c r="E3932" s="2" t="s">
        <v>193</v>
      </c>
    </row>
    <row r="3933">
      <c r="A3933" s="2" t="s">
        <v>4331</v>
      </c>
      <c r="B3933" s="2" t="s">
        <v>4331</v>
      </c>
      <c r="C3933" s="2" t="s">
        <v>4355</v>
      </c>
      <c r="D3933" s="3" t="str">
        <f t="shared" ref="D3933:D3935" si="436">HYPERLINK("https://12go.asia/en/travel/Cape-Point/Cape-Town-International-Airport", "12Go Link")</f>
        <v>12Go Link</v>
      </c>
      <c r="E3933" s="2" t="s">
        <v>191</v>
      </c>
    </row>
    <row r="3934">
      <c r="A3934" s="2" t="s">
        <v>4331</v>
      </c>
      <c r="B3934" s="2" t="s">
        <v>4331</v>
      </c>
      <c r="C3934" s="2" t="s">
        <v>4355</v>
      </c>
      <c r="D3934" s="3" t="str">
        <f t="shared" si="436"/>
        <v>12Go Link</v>
      </c>
      <c r="E3934" s="2" t="s">
        <v>192</v>
      </c>
    </row>
    <row r="3935">
      <c r="A3935" s="2" t="s">
        <v>4331</v>
      </c>
      <c r="B3935" s="2" t="s">
        <v>4331</v>
      </c>
      <c r="C3935" s="2" t="s">
        <v>4355</v>
      </c>
      <c r="D3935" s="3" t="str">
        <f t="shared" si="436"/>
        <v>12Go Link</v>
      </c>
      <c r="E3935" s="2" t="s">
        <v>193</v>
      </c>
    </row>
    <row r="3936">
      <c r="A3936" s="2" t="s">
        <v>4331</v>
      </c>
      <c r="B3936" s="2" t="s">
        <v>4331</v>
      </c>
      <c r="C3936" s="2" t="s">
        <v>4356</v>
      </c>
      <c r="D3936" s="3" t="str">
        <f t="shared" ref="D3936:D3938" si="437">HYPERLINK("https://12go.asia/en/travel/Cape-Town-International-Airport/Acasia-Park-Transfer", "12Go Link")</f>
        <v>12Go Link</v>
      </c>
      <c r="E3936" s="2" t="s">
        <v>191</v>
      </c>
    </row>
    <row r="3937">
      <c r="A3937" s="2" t="s">
        <v>4331</v>
      </c>
      <c r="B3937" s="2" t="s">
        <v>4331</v>
      </c>
      <c r="C3937" s="2" t="s">
        <v>4356</v>
      </c>
      <c r="D3937" s="3" t="str">
        <f t="shared" si="437"/>
        <v>12Go Link</v>
      </c>
      <c r="E3937" s="2" t="s">
        <v>192</v>
      </c>
    </row>
    <row r="3938">
      <c r="A3938" s="2" t="s">
        <v>4331</v>
      </c>
      <c r="B3938" s="2" t="s">
        <v>4331</v>
      </c>
      <c r="C3938" s="2" t="s">
        <v>4356</v>
      </c>
      <c r="D3938" s="3" t="str">
        <f t="shared" si="437"/>
        <v>12Go Link</v>
      </c>
      <c r="E3938" s="2" t="s">
        <v>193</v>
      </c>
    </row>
    <row r="3939">
      <c r="A3939" s="2" t="s">
        <v>4331</v>
      </c>
      <c r="B3939" s="2" t="s">
        <v>4331</v>
      </c>
      <c r="C3939" s="2" t="s">
        <v>4357</v>
      </c>
      <c r="D3939" s="3" t="str">
        <f t="shared" ref="D3939:D3941" si="438">HYPERLINK("https://12go.asia/en/travel/Cape-Town-International-Airport/Athlone-Transfer", "12Go Link")</f>
        <v>12Go Link</v>
      </c>
      <c r="E3939" s="2" t="s">
        <v>191</v>
      </c>
    </row>
    <row r="3940">
      <c r="A3940" s="2" t="s">
        <v>4331</v>
      </c>
      <c r="B3940" s="2" t="s">
        <v>4331</v>
      </c>
      <c r="C3940" s="2" t="s">
        <v>4357</v>
      </c>
      <c r="D3940" s="3" t="str">
        <f t="shared" si="438"/>
        <v>12Go Link</v>
      </c>
      <c r="E3940" s="2" t="s">
        <v>192</v>
      </c>
    </row>
    <row r="3941">
      <c r="A3941" s="2" t="s">
        <v>4331</v>
      </c>
      <c r="B3941" s="2" t="s">
        <v>4331</v>
      </c>
      <c r="C3941" s="2" t="s">
        <v>4357</v>
      </c>
      <c r="D3941" s="3" t="str">
        <f t="shared" si="438"/>
        <v>12Go Link</v>
      </c>
      <c r="E3941" s="2" t="s">
        <v>193</v>
      </c>
    </row>
    <row r="3942">
      <c r="A3942" s="2" t="s">
        <v>4331</v>
      </c>
      <c r="B3942" s="2" t="s">
        <v>4331</v>
      </c>
      <c r="C3942" s="2" t="s">
        <v>4358</v>
      </c>
      <c r="D3942" s="3" t="str">
        <f t="shared" ref="D3942:D3944" si="439">HYPERLINK("https://12go.asia/en/travel/Cape-Town-International-Airport/Bakoven-Transfer", "12Go Link")</f>
        <v>12Go Link</v>
      </c>
      <c r="E3942" s="2" t="s">
        <v>191</v>
      </c>
    </row>
    <row r="3943">
      <c r="A3943" s="2" t="s">
        <v>4331</v>
      </c>
      <c r="B3943" s="2" t="s">
        <v>4331</v>
      </c>
      <c r="C3943" s="2" t="s">
        <v>4358</v>
      </c>
      <c r="D3943" s="3" t="str">
        <f t="shared" si="439"/>
        <v>12Go Link</v>
      </c>
      <c r="E3943" s="2" t="s">
        <v>192</v>
      </c>
    </row>
    <row r="3944">
      <c r="A3944" s="2" t="s">
        <v>4331</v>
      </c>
      <c r="B3944" s="2" t="s">
        <v>4331</v>
      </c>
      <c r="C3944" s="2" t="s">
        <v>4358</v>
      </c>
      <c r="D3944" s="3" t="str">
        <f t="shared" si="439"/>
        <v>12Go Link</v>
      </c>
      <c r="E3944" s="2" t="s">
        <v>193</v>
      </c>
    </row>
    <row r="3945">
      <c r="A3945" s="2" t="s">
        <v>4331</v>
      </c>
      <c r="B3945" s="2" t="s">
        <v>4331</v>
      </c>
      <c r="C3945" s="2" t="s">
        <v>4359</v>
      </c>
      <c r="D3945" s="3" t="str">
        <f t="shared" ref="D3945:D3947" si="440">HYPERLINK("https://12go.asia/en/travel/Cape-Town-International-Airport/Bantry-Bay-Transfer", "12Go Link")</f>
        <v>12Go Link</v>
      </c>
      <c r="E3945" s="2" t="s">
        <v>191</v>
      </c>
    </row>
    <row r="3946">
      <c r="A3946" s="2" t="s">
        <v>4331</v>
      </c>
      <c r="B3946" s="2" t="s">
        <v>4331</v>
      </c>
      <c r="C3946" s="2" t="s">
        <v>4359</v>
      </c>
      <c r="D3946" s="3" t="str">
        <f t="shared" si="440"/>
        <v>12Go Link</v>
      </c>
      <c r="E3946" s="2" t="s">
        <v>192</v>
      </c>
    </row>
    <row r="3947">
      <c r="A3947" s="2" t="s">
        <v>4331</v>
      </c>
      <c r="B3947" s="2" t="s">
        <v>4331</v>
      </c>
      <c r="C3947" s="2" t="s">
        <v>4359</v>
      </c>
      <c r="D3947" s="3" t="str">
        <f t="shared" si="440"/>
        <v>12Go Link</v>
      </c>
      <c r="E3947" s="2" t="s">
        <v>193</v>
      </c>
    </row>
    <row r="3948">
      <c r="A3948" s="2" t="s">
        <v>4331</v>
      </c>
      <c r="B3948" s="2" t="s">
        <v>4331</v>
      </c>
      <c r="C3948" s="2" t="s">
        <v>4360</v>
      </c>
      <c r="D3948" s="3" t="str">
        <f t="shared" ref="D3948:D3950" si="441">HYPERLINK("https://12go.asia/en/travel/Cape-Town-International-Airport/Bergvliet-Transfer", "12Go Link")</f>
        <v>12Go Link</v>
      </c>
      <c r="E3948" s="2" t="s">
        <v>191</v>
      </c>
    </row>
    <row r="3949">
      <c r="A3949" s="2" t="s">
        <v>4331</v>
      </c>
      <c r="B3949" s="2" t="s">
        <v>4331</v>
      </c>
      <c r="C3949" s="2" t="s">
        <v>4360</v>
      </c>
      <c r="D3949" s="3" t="str">
        <f t="shared" si="441"/>
        <v>12Go Link</v>
      </c>
      <c r="E3949" s="2" t="s">
        <v>192</v>
      </c>
    </row>
    <row r="3950">
      <c r="A3950" s="2" t="s">
        <v>4331</v>
      </c>
      <c r="B3950" s="2" t="s">
        <v>4331</v>
      </c>
      <c r="C3950" s="2" t="s">
        <v>4360</v>
      </c>
      <c r="D3950" s="3" t="str">
        <f t="shared" si="441"/>
        <v>12Go Link</v>
      </c>
      <c r="E3950" s="2" t="s">
        <v>193</v>
      </c>
    </row>
    <row r="3951">
      <c r="A3951" s="2" t="s">
        <v>4331</v>
      </c>
      <c r="B3951" s="2" t="s">
        <v>4331</v>
      </c>
      <c r="C3951" s="2" t="s">
        <v>4361</v>
      </c>
      <c r="D3951" s="3" t="str">
        <f t="shared" ref="D3951:D3953" si="442">HYPERLINK("https://12go.asia/en/travel/Cape-Town-International-Airport/Bishops-Court-Transfer", "12Go Link")</f>
        <v>12Go Link</v>
      </c>
      <c r="E3951" s="2" t="s">
        <v>191</v>
      </c>
    </row>
    <row r="3952">
      <c r="A3952" s="2" t="s">
        <v>4331</v>
      </c>
      <c r="B3952" s="2" t="s">
        <v>4331</v>
      </c>
      <c r="C3952" s="2" t="s">
        <v>4361</v>
      </c>
      <c r="D3952" s="3" t="str">
        <f t="shared" si="442"/>
        <v>12Go Link</v>
      </c>
      <c r="E3952" s="2" t="s">
        <v>192</v>
      </c>
    </row>
    <row r="3953">
      <c r="A3953" s="2" t="s">
        <v>4331</v>
      </c>
      <c r="B3953" s="2" t="s">
        <v>4331</v>
      </c>
      <c r="C3953" s="2" t="s">
        <v>4361</v>
      </c>
      <c r="D3953" s="3" t="str">
        <f t="shared" si="442"/>
        <v>12Go Link</v>
      </c>
      <c r="E3953" s="2" t="s">
        <v>193</v>
      </c>
    </row>
    <row r="3954">
      <c r="A3954" s="2" t="s">
        <v>4331</v>
      </c>
      <c r="B3954" s="2" t="s">
        <v>4331</v>
      </c>
      <c r="C3954" s="2" t="s">
        <v>4362</v>
      </c>
      <c r="D3954" s="3" t="str">
        <f t="shared" ref="D3954:D3956" si="443">HYPERLINK("https://12go.asia/en/travel/Cape-Town-International-Airport/Blouberg-Strand-Transfer", "12Go Link")</f>
        <v>12Go Link</v>
      </c>
      <c r="E3954" s="2" t="s">
        <v>191</v>
      </c>
    </row>
    <row r="3955">
      <c r="A3955" s="2" t="s">
        <v>4331</v>
      </c>
      <c r="B3955" s="2" t="s">
        <v>4331</v>
      </c>
      <c r="C3955" s="2" t="s">
        <v>4362</v>
      </c>
      <c r="D3955" s="3" t="str">
        <f t="shared" si="443"/>
        <v>12Go Link</v>
      </c>
      <c r="E3955" s="2" t="s">
        <v>192</v>
      </c>
    </row>
    <row r="3956">
      <c r="A3956" s="2" t="s">
        <v>4331</v>
      </c>
      <c r="B3956" s="2" t="s">
        <v>4331</v>
      </c>
      <c r="C3956" s="2" t="s">
        <v>4362</v>
      </c>
      <c r="D3956" s="3" t="str">
        <f t="shared" si="443"/>
        <v>12Go Link</v>
      </c>
      <c r="E3956" s="2" t="s">
        <v>193</v>
      </c>
    </row>
    <row r="3957">
      <c r="A3957" s="2" t="s">
        <v>4331</v>
      </c>
      <c r="B3957" s="2" t="s">
        <v>4331</v>
      </c>
      <c r="C3957" s="2" t="s">
        <v>4363</v>
      </c>
      <c r="D3957" s="3" t="str">
        <f t="shared" ref="D3957:D3959" si="444">HYPERLINK("https://12go.asia/en/travel/Cape-Town-International-Airport/Brackenfell-Transfer", "12Go Link")</f>
        <v>12Go Link</v>
      </c>
      <c r="E3957" s="2" t="s">
        <v>191</v>
      </c>
    </row>
    <row r="3958">
      <c r="A3958" s="2" t="s">
        <v>4331</v>
      </c>
      <c r="B3958" s="2" t="s">
        <v>4331</v>
      </c>
      <c r="C3958" s="2" t="s">
        <v>4363</v>
      </c>
      <c r="D3958" s="3" t="str">
        <f t="shared" si="444"/>
        <v>12Go Link</v>
      </c>
      <c r="E3958" s="2" t="s">
        <v>192</v>
      </c>
    </row>
    <row r="3959">
      <c r="A3959" s="2" t="s">
        <v>4331</v>
      </c>
      <c r="B3959" s="2" t="s">
        <v>4331</v>
      </c>
      <c r="C3959" s="2" t="s">
        <v>4363</v>
      </c>
      <c r="D3959" s="3" t="str">
        <f t="shared" si="444"/>
        <v>12Go Link</v>
      </c>
      <c r="E3959" s="2" t="s">
        <v>193</v>
      </c>
    </row>
    <row r="3960">
      <c r="A3960" s="2" t="s">
        <v>4331</v>
      </c>
      <c r="B3960" s="2" t="s">
        <v>4331</v>
      </c>
      <c r="C3960" s="2" t="s">
        <v>4364</v>
      </c>
      <c r="D3960" s="3" t="str">
        <f t="shared" ref="D3960:D3962" si="445">HYPERLINK("https://12go.asia/en/travel/Cape-Town-International-Airport/Camps-Bay-Transfer", "12Go Link")</f>
        <v>12Go Link</v>
      </c>
      <c r="E3960" s="2" t="s">
        <v>191</v>
      </c>
    </row>
    <row r="3961">
      <c r="A3961" s="2" t="s">
        <v>4331</v>
      </c>
      <c r="B3961" s="2" t="s">
        <v>4331</v>
      </c>
      <c r="C3961" s="2" t="s">
        <v>4364</v>
      </c>
      <c r="D3961" s="3" t="str">
        <f t="shared" si="445"/>
        <v>12Go Link</v>
      </c>
      <c r="E3961" s="2" t="s">
        <v>192</v>
      </c>
    </row>
    <row r="3962">
      <c r="A3962" s="2" t="s">
        <v>4331</v>
      </c>
      <c r="B3962" s="2" t="s">
        <v>4331</v>
      </c>
      <c r="C3962" s="2" t="s">
        <v>4364</v>
      </c>
      <c r="D3962" s="3" t="str">
        <f t="shared" si="445"/>
        <v>12Go Link</v>
      </c>
      <c r="E3962" s="2" t="s">
        <v>193</v>
      </c>
    </row>
    <row r="3963">
      <c r="A3963" s="2" t="s">
        <v>4331</v>
      </c>
      <c r="B3963" s="2" t="s">
        <v>4331</v>
      </c>
      <c r="C3963" s="2" t="s">
        <v>4365</v>
      </c>
      <c r="D3963" s="3" t="str">
        <f t="shared" ref="D3963:D3965" si="446">HYPERLINK("https://12go.asia/en/travel/Cape-Town-International-Airport/Cape-Point", "12Go Link")</f>
        <v>12Go Link</v>
      </c>
      <c r="E3963" s="2" t="s">
        <v>191</v>
      </c>
    </row>
    <row r="3964">
      <c r="A3964" s="2" t="s">
        <v>4331</v>
      </c>
      <c r="B3964" s="2" t="s">
        <v>4331</v>
      </c>
      <c r="C3964" s="2" t="s">
        <v>4365</v>
      </c>
      <c r="D3964" s="3" t="str">
        <f t="shared" si="446"/>
        <v>12Go Link</v>
      </c>
      <c r="E3964" s="2" t="s">
        <v>192</v>
      </c>
    </row>
    <row r="3965">
      <c r="A3965" s="2" t="s">
        <v>4331</v>
      </c>
      <c r="B3965" s="2" t="s">
        <v>4331</v>
      </c>
      <c r="C3965" s="2" t="s">
        <v>4365</v>
      </c>
      <c r="D3965" s="3" t="str">
        <f t="shared" si="446"/>
        <v>12Go Link</v>
      </c>
      <c r="E3965" s="2" t="s">
        <v>193</v>
      </c>
    </row>
    <row r="3966">
      <c r="A3966" s="2" t="s">
        <v>4331</v>
      </c>
      <c r="B3966" s="2" t="s">
        <v>4331</v>
      </c>
      <c r="C3966" s="2" t="s">
        <v>4366</v>
      </c>
      <c r="D3966" s="3" t="str">
        <f t="shared" ref="D3966:D3968" si="447">HYPERLINK("https://12go.asia/en/travel/Cape-Town-International-Airport/Cape-Town-Port", "12Go Link")</f>
        <v>12Go Link</v>
      </c>
      <c r="E3966" s="2" t="s">
        <v>191</v>
      </c>
    </row>
    <row r="3967">
      <c r="A3967" s="2" t="s">
        <v>4331</v>
      </c>
      <c r="B3967" s="2" t="s">
        <v>4331</v>
      </c>
      <c r="C3967" s="2" t="s">
        <v>4366</v>
      </c>
      <c r="D3967" s="3" t="str">
        <f t="shared" si="447"/>
        <v>12Go Link</v>
      </c>
      <c r="E3967" s="2" t="s">
        <v>192</v>
      </c>
    </row>
    <row r="3968">
      <c r="A3968" s="2" t="s">
        <v>4331</v>
      </c>
      <c r="B3968" s="2" t="s">
        <v>4331</v>
      </c>
      <c r="C3968" s="2" t="s">
        <v>4366</v>
      </c>
      <c r="D3968" s="3" t="str">
        <f t="shared" si="447"/>
        <v>12Go Link</v>
      </c>
      <c r="E3968" s="2" t="s">
        <v>193</v>
      </c>
    </row>
    <row r="3969">
      <c r="A3969" s="2" t="s">
        <v>4331</v>
      </c>
      <c r="B3969" s="2" t="s">
        <v>4331</v>
      </c>
      <c r="C3969" s="2" t="s">
        <v>4367</v>
      </c>
      <c r="D3969" s="3" t="str">
        <f t="shared" ref="D3969:D3971" si="448">HYPERLINK("https://12go.asia/en/travel/Cape-Town-International-Airport/Cape-Town-Railway-Station-Transfer", "12Go Link")</f>
        <v>12Go Link</v>
      </c>
      <c r="E3969" s="2" t="s">
        <v>191</v>
      </c>
    </row>
    <row r="3970">
      <c r="A3970" s="2" t="s">
        <v>4331</v>
      </c>
      <c r="B3970" s="2" t="s">
        <v>4331</v>
      </c>
      <c r="C3970" s="2" t="s">
        <v>4367</v>
      </c>
      <c r="D3970" s="3" t="str">
        <f t="shared" si="448"/>
        <v>12Go Link</v>
      </c>
      <c r="E3970" s="2" t="s">
        <v>192</v>
      </c>
    </row>
    <row r="3971">
      <c r="A3971" s="2" t="s">
        <v>4331</v>
      </c>
      <c r="B3971" s="2" t="s">
        <v>4331</v>
      </c>
      <c r="C3971" s="2" t="s">
        <v>4367</v>
      </c>
      <c r="D3971" s="3" t="str">
        <f t="shared" si="448"/>
        <v>12Go Link</v>
      </c>
      <c r="E3971" s="2" t="s">
        <v>193</v>
      </c>
    </row>
    <row r="3972">
      <c r="A3972" s="2" t="s">
        <v>4331</v>
      </c>
      <c r="B3972" s="2" t="s">
        <v>4331</v>
      </c>
      <c r="C3972" s="2" t="s">
        <v>4368</v>
      </c>
      <c r="D3972" s="3" t="str">
        <f t="shared" ref="D3972:D3974" si="449">HYPERLINK("https://12go.asia/en/travel/Cape-Town-International-Airport/Cape-Town-Transfer", "12Go Link")</f>
        <v>12Go Link</v>
      </c>
      <c r="E3972" s="2" t="s">
        <v>191</v>
      </c>
    </row>
    <row r="3973">
      <c r="A3973" s="2" t="s">
        <v>4331</v>
      </c>
      <c r="B3973" s="2" t="s">
        <v>4331</v>
      </c>
      <c r="C3973" s="2" t="s">
        <v>4368</v>
      </c>
      <c r="D3973" s="3" t="str">
        <f t="shared" si="449"/>
        <v>12Go Link</v>
      </c>
      <c r="E3973" s="2" t="s">
        <v>192</v>
      </c>
    </row>
    <row r="3974">
      <c r="A3974" s="2" t="s">
        <v>4331</v>
      </c>
      <c r="B3974" s="2" t="s">
        <v>4331</v>
      </c>
      <c r="C3974" s="2" t="s">
        <v>4368</v>
      </c>
      <c r="D3974" s="3" t="str">
        <f t="shared" si="449"/>
        <v>12Go Link</v>
      </c>
      <c r="E3974" s="2" t="s">
        <v>193</v>
      </c>
    </row>
    <row r="3975">
      <c r="A3975" s="2" t="s">
        <v>4331</v>
      </c>
      <c r="B3975" s="2" t="s">
        <v>4331</v>
      </c>
      <c r="C3975" s="2" t="s">
        <v>4369</v>
      </c>
      <c r="D3975" s="3" t="str">
        <f t="shared" ref="D3975:D3977" si="450">HYPERLINK("https://12go.asia/en/travel/Cape-Town-International-Airport/Century-City-Transfer", "12Go Link")</f>
        <v>12Go Link</v>
      </c>
      <c r="E3975" s="2" t="s">
        <v>191</v>
      </c>
    </row>
    <row r="3976">
      <c r="A3976" s="2" t="s">
        <v>4331</v>
      </c>
      <c r="B3976" s="2" t="s">
        <v>4331</v>
      </c>
      <c r="C3976" s="2" t="s">
        <v>4369</v>
      </c>
      <c r="D3976" s="3" t="str">
        <f t="shared" si="450"/>
        <v>12Go Link</v>
      </c>
      <c r="E3976" s="2" t="s">
        <v>192</v>
      </c>
    </row>
    <row r="3977">
      <c r="A3977" s="2" t="s">
        <v>4331</v>
      </c>
      <c r="B3977" s="2" t="s">
        <v>4331</v>
      </c>
      <c r="C3977" s="2" t="s">
        <v>4369</v>
      </c>
      <c r="D3977" s="3" t="str">
        <f t="shared" si="450"/>
        <v>12Go Link</v>
      </c>
      <c r="E3977" s="2" t="s">
        <v>193</v>
      </c>
    </row>
    <row r="3978">
      <c r="A3978" s="2" t="s">
        <v>4331</v>
      </c>
      <c r="B3978" s="2" t="s">
        <v>4331</v>
      </c>
      <c r="C3978" s="2" t="s">
        <v>4370</v>
      </c>
      <c r="D3978" s="3" t="str">
        <f t="shared" ref="D3978:D3980" si="451">HYPERLINK("https://12go.asia/en/travel/Cape-Town-International-Airport/Chapmans-Peak-Transfer", "12Go Link")</f>
        <v>12Go Link</v>
      </c>
      <c r="E3978" s="2" t="s">
        <v>191</v>
      </c>
    </row>
    <row r="3979">
      <c r="A3979" s="2" t="s">
        <v>4331</v>
      </c>
      <c r="B3979" s="2" t="s">
        <v>4331</v>
      </c>
      <c r="C3979" s="2" t="s">
        <v>4370</v>
      </c>
      <c r="D3979" s="3" t="str">
        <f t="shared" si="451"/>
        <v>12Go Link</v>
      </c>
      <c r="E3979" s="2" t="s">
        <v>192</v>
      </c>
    </row>
    <row r="3980">
      <c r="A3980" s="2" t="s">
        <v>4331</v>
      </c>
      <c r="B3980" s="2" t="s">
        <v>4331</v>
      </c>
      <c r="C3980" s="2" t="s">
        <v>4370</v>
      </c>
      <c r="D3980" s="3" t="str">
        <f t="shared" si="451"/>
        <v>12Go Link</v>
      </c>
      <c r="E3980" s="2" t="s">
        <v>193</v>
      </c>
    </row>
    <row r="3981">
      <c r="A3981" s="2" t="s">
        <v>4331</v>
      </c>
      <c r="B3981" s="2" t="s">
        <v>4331</v>
      </c>
      <c r="C3981" s="2" t="s">
        <v>4371</v>
      </c>
      <c r="D3981" s="3" t="str">
        <f t="shared" ref="D3981:D3983" si="452">HYPERLINK("https://12go.asia/en/travel/Cape-Town-International-Airport/Claremont-Transfer", "12Go Link")</f>
        <v>12Go Link</v>
      </c>
      <c r="E3981" s="2" t="s">
        <v>191</v>
      </c>
    </row>
    <row r="3982">
      <c r="A3982" s="2" t="s">
        <v>4331</v>
      </c>
      <c r="B3982" s="2" t="s">
        <v>4331</v>
      </c>
      <c r="C3982" s="2" t="s">
        <v>4371</v>
      </c>
      <c r="D3982" s="3" t="str">
        <f t="shared" si="452"/>
        <v>12Go Link</v>
      </c>
      <c r="E3982" s="2" t="s">
        <v>192</v>
      </c>
    </row>
    <row r="3983">
      <c r="A3983" s="2" t="s">
        <v>4331</v>
      </c>
      <c r="B3983" s="2" t="s">
        <v>4331</v>
      </c>
      <c r="C3983" s="2" t="s">
        <v>4371</v>
      </c>
      <c r="D3983" s="3" t="str">
        <f t="shared" si="452"/>
        <v>12Go Link</v>
      </c>
      <c r="E3983" s="2" t="s">
        <v>193</v>
      </c>
    </row>
    <row r="3984">
      <c r="A3984" s="2" t="s">
        <v>4331</v>
      </c>
      <c r="B3984" s="2" t="s">
        <v>4331</v>
      </c>
      <c r="C3984" s="2" t="s">
        <v>4372</v>
      </c>
      <c r="D3984" s="3" t="str">
        <f t="shared" ref="D3984:D3986" si="453">HYPERLINK("https://12go.asia/en/travel/Cape-Town-International-Airport/Clifton-Transfer", "12Go Link")</f>
        <v>12Go Link</v>
      </c>
      <c r="E3984" s="2" t="s">
        <v>191</v>
      </c>
    </row>
    <row r="3985">
      <c r="A3985" s="2" t="s">
        <v>4331</v>
      </c>
      <c r="B3985" s="2" t="s">
        <v>4331</v>
      </c>
      <c r="C3985" s="2" t="s">
        <v>4372</v>
      </c>
      <c r="D3985" s="3" t="str">
        <f t="shared" si="453"/>
        <v>12Go Link</v>
      </c>
      <c r="E3985" s="2" t="s">
        <v>192</v>
      </c>
    </row>
    <row r="3986">
      <c r="A3986" s="2" t="s">
        <v>4331</v>
      </c>
      <c r="B3986" s="2" t="s">
        <v>4331</v>
      </c>
      <c r="C3986" s="2" t="s">
        <v>4372</v>
      </c>
      <c r="D3986" s="3" t="str">
        <f t="shared" si="453"/>
        <v>12Go Link</v>
      </c>
      <c r="E3986" s="2" t="s">
        <v>193</v>
      </c>
    </row>
    <row r="3987">
      <c r="A3987" s="2" t="s">
        <v>4331</v>
      </c>
      <c r="B3987" s="2" t="s">
        <v>4331</v>
      </c>
      <c r="C3987" s="2" t="s">
        <v>4373</v>
      </c>
      <c r="D3987" s="3" t="str">
        <f t="shared" ref="D3987:D3989" si="454">HYPERLINK("https://12go.asia/en/travel/Cape-Town-International-Airport/Constantia-Transfer", "12Go Link")</f>
        <v>12Go Link</v>
      </c>
      <c r="E3987" s="2" t="s">
        <v>191</v>
      </c>
    </row>
    <row r="3988">
      <c r="A3988" s="2" t="s">
        <v>4331</v>
      </c>
      <c r="B3988" s="2" t="s">
        <v>4331</v>
      </c>
      <c r="C3988" s="2" t="s">
        <v>4373</v>
      </c>
      <c r="D3988" s="3" t="str">
        <f t="shared" si="454"/>
        <v>12Go Link</v>
      </c>
      <c r="E3988" s="2" t="s">
        <v>192</v>
      </c>
    </row>
    <row r="3989">
      <c r="A3989" s="2" t="s">
        <v>4331</v>
      </c>
      <c r="B3989" s="2" t="s">
        <v>4331</v>
      </c>
      <c r="C3989" s="2" t="s">
        <v>4373</v>
      </c>
      <c r="D3989" s="3" t="str">
        <f t="shared" si="454"/>
        <v>12Go Link</v>
      </c>
      <c r="E3989" s="2" t="s">
        <v>193</v>
      </c>
    </row>
    <row r="3990">
      <c r="A3990" s="2" t="s">
        <v>4331</v>
      </c>
      <c r="B3990" s="2" t="s">
        <v>4331</v>
      </c>
      <c r="C3990" s="2" t="s">
        <v>4374</v>
      </c>
      <c r="D3990" s="3" t="str">
        <f t="shared" ref="D3990:D3992" si="455">HYPERLINK("https://12go.asia/en/travel/Cape-Town-International-Airport/Diep-River-Transfer", "12Go Link")</f>
        <v>12Go Link</v>
      </c>
      <c r="E3990" s="2" t="s">
        <v>191</v>
      </c>
    </row>
    <row r="3991">
      <c r="A3991" s="2" t="s">
        <v>4331</v>
      </c>
      <c r="B3991" s="2" t="s">
        <v>4331</v>
      </c>
      <c r="C3991" s="2" t="s">
        <v>4374</v>
      </c>
      <c r="D3991" s="3" t="str">
        <f t="shared" si="455"/>
        <v>12Go Link</v>
      </c>
      <c r="E3991" s="2" t="s">
        <v>192</v>
      </c>
    </row>
    <row r="3992">
      <c r="A3992" s="2" t="s">
        <v>4331</v>
      </c>
      <c r="B3992" s="2" t="s">
        <v>4331</v>
      </c>
      <c r="C3992" s="2" t="s">
        <v>4374</v>
      </c>
      <c r="D3992" s="3" t="str">
        <f t="shared" si="455"/>
        <v>12Go Link</v>
      </c>
      <c r="E3992" s="2" t="s">
        <v>193</v>
      </c>
    </row>
    <row r="3993">
      <c r="A3993" s="2" t="s">
        <v>4331</v>
      </c>
      <c r="B3993" s="2" t="s">
        <v>4331</v>
      </c>
      <c r="C3993" s="2" t="s">
        <v>4375</v>
      </c>
      <c r="D3993" s="3" t="str">
        <f t="shared" ref="D3993:D3995" si="456">HYPERLINK("https://12go.asia/en/travel/Cape-Town-International-Airport/Durbanville-Transfer", "12Go Link")</f>
        <v>12Go Link</v>
      </c>
      <c r="E3993" s="2" t="s">
        <v>191</v>
      </c>
    </row>
    <row r="3994">
      <c r="A3994" s="2" t="s">
        <v>4331</v>
      </c>
      <c r="B3994" s="2" t="s">
        <v>4331</v>
      </c>
      <c r="C3994" s="2" t="s">
        <v>4375</v>
      </c>
      <c r="D3994" s="3" t="str">
        <f t="shared" si="456"/>
        <v>12Go Link</v>
      </c>
      <c r="E3994" s="2" t="s">
        <v>192</v>
      </c>
    </row>
    <row r="3995">
      <c r="A3995" s="2" t="s">
        <v>4331</v>
      </c>
      <c r="B3995" s="2" t="s">
        <v>4331</v>
      </c>
      <c r="C3995" s="2" t="s">
        <v>4375</v>
      </c>
      <c r="D3995" s="3" t="str">
        <f t="shared" si="456"/>
        <v>12Go Link</v>
      </c>
      <c r="E3995" s="2" t="s">
        <v>193</v>
      </c>
    </row>
    <row r="3996">
      <c r="A3996" s="2" t="s">
        <v>4331</v>
      </c>
      <c r="B3996" s="2" t="s">
        <v>4331</v>
      </c>
      <c r="C3996" s="2" t="s">
        <v>4376</v>
      </c>
      <c r="D3996" s="3" t="str">
        <f t="shared" ref="D3996:D3998" si="457">HYPERLINK("https://12go.asia/en/travel/Cape-Town-International-Airport/Edgemead-Transfer", "12Go Link")</f>
        <v>12Go Link</v>
      </c>
      <c r="E3996" s="2" t="s">
        <v>191</v>
      </c>
    </row>
    <row r="3997">
      <c r="A3997" s="2" t="s">
        <v>4331</v>
      </c>
      <c r="B3997" s="2" t="s">
        <v>4331</v>
      </c>
      <c r="C3997" s="2" t="s">
        <v>4376</v>
      </c>
      <c r="D3997" s="3" t="str">
        <f t="shared" si="457"/>
        <v>12Go Link</v>
      </c>
      <c r="E3997" s="2" t="s">
        <v>192</v>
      </c>
    </row>
    <row r="3998">
      <c r="A3998" s="2" t="s">
        <v>4331</v>
      </c>
      <c r="B3998" s="2" t="s">
        <v>4331</v>
      </c>
      <c r="C3998" s="2" t="s">
        <v>4376</v>
      </c>
      <c r="D3998" s="3" t="str">
        <f t="shared" si="457"/>
        <v>12Go Link</v>
      </c>
      <c r="E3998" s="2" t="s">
        <v>193</v>
      </c>
    </row>
    <row r="3999">
      <c r="A3999" s="2" t="s">
        <v>4331</v>
      </c>
      <c r="B3999" s="2" t="s">
        <v>4331</v>
      </c>
      <c r="C3999" s="2" t="s">
        <v>4377</v>
      </c>
      <c r="D3999" s="3" t="str">
        <f t="shared" ref="D3999:D4001" si="458">HYPERLINK("https://12go.asia/en/travel/Cape-Town-International-Airport/Epping-Transfer", "12Go Link")</f>
        <v>12Go Link</v>
      </c>
      <c r="E3999" s="2" t="s">
        <v>191</v>
      </c>
    </row>
    <row r="4000">
      <c r="A4000" s="2" t="s">
        <v>4331</v>
      </c>
      <c r="B4000" s="2" t="s">
        <v>4331</v>
      </c>
      <c r="C4000" s="2" t="s">
        <v>4377</v>
      </c>
      <c r="D4000" s="3" t="str">
        <f t="shared" si="458"/>
        <v>12Go Link</v>
      </c>
      <c r="E4000" s="2" t="s">
        <v>192</v>
      </c>
    </row>
    <row r="4001">
      <c r="A4001" s="2" t="s">
        <v>4331</v>
      </c>
      <c r="B4001" s="2" t="s">
        <v>4331</v>
      </c>
      <c r="C4001" s="2" t="s">
        <v>4377</v>
      </c>
      <c r="D4001" s="3" t="str">
        <f t="shared" si="458"/>
        <v>12Go Link</v>
      </c>
      <c r="E4001" s="2" t="s">
        <v>193</v>
      </c>
    </row>
    <row r="4002">
      <c r="A4002" s="2" t="s">
        <v>4331</v>
      </c>
      <c r="B4002" s="2" t="s">
        <v>4331</v>
      </c>
      <c r="C4002" s="2" t="s">
        <v>4378</v>
      </c>
      <c r="D4002" s="3" t="str">
        <f t="shared" ref="D4002:D4004" si="459">HYPERLINK("https://12go.asia/en/travel/Cape-Town-International-Airport/Fairways-Transfer", "12Go Link")</f>
        <v>12Go Link</v>
      </c>
      <c r="E4002" s="2" t="s">
        <v>191</v>
      </c>
    </row>
    <row r="4003">
      <c r="A4003" s="2" t="s">
        <v>4331</v>
      </c>
      <c r="B4003" s="2" t="s">
        <v>4331</v>
      </c>
      <c r="C4003" s="2" t="s">
        <v>4378</v>
      </c>
      <c r="D4003" s="3" t="str">
        <f t="shared" si="459"/>
        <v>12Go Link</v>
      </c>
      <c r="E4003" s="2" t="s">
        <v>192</v>
      </c>
    </row>
    <row r="4004">
      <c r="A4004" s="2" t="s">
        <v>4331</v>
      </c>
      <c r="B4004" s="2" t="s">
        <v>4331</v>
      </c>
      <c r="C4004" s="2" t="s">
        <v>4378</v>
      </c>
      <c r="D4004" s="3" t="str">
        <f t="shared" si="459"/>
        <v>12Go Link</v>
      </c>
      <c r="E4004" s="2" t="s">
        <v>193</v>
      </c>
    </row>
    <row r="4005">
      <c r="A4005" s="2" t="s">
        <v>4331</v>
      </c>
      <c r="B4005" s="2" t="s">
        <v>4331</v>
      </c>
      <c r="C4005" s="2" t="s">
        <v>4379</v>
      </c>
      <c r="D4005" s="3" t="str">
        <f t="shared" ref="D4005:D4007" si="460">HYPERLINK("https://12go.asia/en/travel/Cape-Town-International-Airport/Fresnaye-Transfer", "12Go Link")</f>
        <v>12Go Link</v>
      </c>
      <c r="E4005" s="2" t="s">
        <v>191</v>
      </c>
    </row>
    <row r="4006">
      <c r="A4006" s="2" t="s">
        <v>4331</v>
      </c>
      <c r="B4006" s="2" t="s">
        <v>4331</v>
      </c>
      <c r="C4006" s="2" t="s">
        <v>4379</v>
      </c>
      <c r="D4006" s="3" t="str">
        <f t="shared" si="460"/>
        <v>12Go Link</v>
      </c>
      <c r="E4006" s="2" t="s">
        <v>192</v>
      </c>
    </row>
    <row r="4007">
      <c r="A4007" s="2" t="s">
        <v>4331</v>
      </c>
      <c r="B4007" s="2" t="s">
        <v>4331</v>
      </c>
      <c r="C4007" s="2" t="s">
        <v>4379</v>
      </c>
      <c r="D4007" s="3" t="str">
        <f t="shared" si="460"/>
        <v>12Go Link</v>
      </c>
      <c r="E4007" s="2" t="s">
        <v>193</v>
      </c>
    </row>
    <row r="4008">
      <c r="A4008" s="2" t="s">
        <v>4331</v>
      </c>
      <c r="B4008" s="2" t="s">
        <v>4331</v>
      </c>
      <c r="C4008" s="2" t="s">
        <v>4380</v>
      </c>
      <c r="D4008" s="3" t="str">
        <f t="shared" ref="D4008:D4010" si="461">HYPERLINK("https://12go.asia/en/travel/Cape-Town-International-Airport/Gardens-Transfer", "12Go Link")</f>
        <v>12Go Link</v>
      </c>
      <c r="E4008" s="2" t="s">
        <v>191</v>
      </c>
    </row>
    <row r="4009">
      <c r="A4009" s="2" t="s">
        <v>4331</v>
      </c>
      <c r="B4009" s="2" t="s">
        <v>4331</v>
      </c>
      <c r="C4009" s="2" t="s">
        <v>4380</v>
      </c>
      <c r="D4009" s="3" t="str">
        <f t="shared" si="461"/>
        <v>12Go Link</v>
      </c>
      <c r="E4009" s="2" t="s">
        <v>192</v>
      </c>
    </row>
    <row r="4010">
      <c r="A4010" s="2" t="s">
        <v>4331</v>
      </c>
      <c r="B4010" s="2" t="s">
        <v>4331</v>
      </c>
      <c r="C4010" s="2" t="s">
        <v>4380</v>
      </c>
      <c r="D4010" s="3" t="str">
        <f t="shared" si="461"/>
        <v>12Go Link</v>
      </c>
      <c r="E4010" s="2" t="s">
        <v>193</v>
      </c>
    </row>
    <row r="4011">
      <c r="A4011" s="2" t="s">
        <v>4331</v>
      </c>
      <c r="B4011" s="2" t="s">
        <v>4331</v>
      </c>
      <c r="C4011" s="2" t="s">
        <v>4381</v>
      </c>
      <c r="D4011" s="3" t="str">
        <f t="shared" ref="D4011:D4013" si="462">HYPERLINK("https://12go.asia/en/travel/Cape-Town-International-Airport/Gordons-Bay-Transfer", "12Go Link")</f>
        <v>12Go Link</v>
      </c>
      <c r="E4011" s="2" t="s">
        <v>191</v>
      </c>
    </row>
    <row r="4012">
      <c r="A4012" s="2" t="s">
        <v>4331</v>
      </c>
      <c r="B4012" s="2" t="s">
        <v>4331</v>
      </c>
      <c r="C4012" s="2" t="s">
        <v>4381</v>
      </c>
      <c r="D4012" s="3" t="str">
        <f t="shared" si="462"/>
        <v>12Go Link</v>
      </c>
      <c r="E4012" s="2" t="s">
        <v>192</v>
      </c>
    </row>
    <row r="4013">
      <c r="A4013" s="2" t="s">
        <v>4331</v>
      </c>
      <c r="B4013" s="2" t="s">
        <v>4331</v>
      </c>
      <c r="C4013" s="2" t="s">
        <v>4381</v>
      </c>
      <c r="D4013" s="3" t="str">
        <f t="shared" si="462"/>
        <v>12Go Link</v>
      </c>
      <c r="E4013" s="2" t="s">
        <v>193</v>
      </c>
    </row>
    <row r="4014">
      <c r="A4014" s="2" t="s">
        <v>4331</v>
      </c>
      <c r="B4014" s="2" t="s">
        <v>4331</v>
      </c>
      <c r="C4014" s="2" t="s">
        <v>4382</v>
      </c>
      <c r="D4014" s="3" t="str">
        <f t="shared" ref="D4014:D4016" si="463">HYPERLINK("https://12go.asia/en/travel/Cape-Town-International-Airport/Grassy-Park-Transfer", "12Go Link")</f>
        <v>12Go Link</v>
      </c>
      <c r="E4014" s="2" t="s">
        <v>191</v>
      </c>
    </row>
    <row r="4015">
      <c r="A4015" s="2" t="s">
        <v>4331</v>
      </c>
      <c r="B4015" s="2" t="s">
        <v>4331</v>
      </c>
      <c r="C4015" s="2" t="s">
        <v>4382</v>
      </c>
      <c r="D4015" s="3" t="str">
        <f t="shared" si="463"/>
        <v>12Go Link</v>
      </c>
      <c r="E4015" s="2" t="s">
        <v>192</v>
      </c>
    </row>
    <row r="4016">
      <c r="A4016" s="2" t="s">
        <v>4331</v>
      </c>
      <c r="B4016" s="2" t="s">
        <v>4331</v>
      </c>
      <c r="C4016" s="2" t="s">
        <v>4382</v>
      </c>
      <c r="D4016" s="3" t="str">
        <f t="shared" si="463"/>
        <v>12Go Link</v>
      </c>
      <c r="E4016" s="2" t="s">
        <v>193</v>
      </c>
    </row>
    <row r="4017">
      <c r="A4017" s="2" t="s">
        <v>4331</v>
      </c>
      <c r="B4017" s="2" t="s">
        <v>4331</v>
      </c>
      <c r="C4017" s="2" t="s">
        <v>4383</v>
      </c>
      <c r="D4017" s="3" t="str">
        <f t="shared" ref="D4017:D4019" si="464">HYPERLINK("https://12go.asia/en/travel/Cape-Town-International-Airport/Greenpoint-Transfer", "12Go Link")</f>
        <v>12Go Link</v>
      </c>
      <c r="E4017" s="2" t="s">
        <v>191</v>
      </c>
    </row>
    <row r="4018">
      <c r="A4018" s="2" t="s">
        <v>4331</v>
      </c>
      <c r="B4018" s="2" t="s">
        <v>4331</v>
      </c>
      <c r="C4018" s="2" t="s">
        <v>4383</v>
      </c>
      <c r="D4018" s="3" t="str">
        <f t="shared" si="464"/>
        <v>12Go Link</v>
      </c>
      <c r="E4018" s="2" t="s">
        <v>192</v>
      </c>
    </row>
    <row r="4019">
      <c r="A4019" s="2" t="s">
        <v>4331</v>
      </c>
      <c r="B4019" s="2" t="s">
        <v>4331</v>
      </c>
      <c r="C4019" s="2" t="s">
        <v>4383</v>
      </c>
      <c r="D4019" s="3" t="str">
        <f t="shared" si="464"/>
        <v>12Go Link</v>
      </c>
      <c r="E4019" s="2" t="s">
        <v>193</v>
      </c>
    </row>
    <row r="4020">
      <c r="A4020" s="2" t="s">
        <v>4331</v>
      </c>
      <c r="B4020" s="2" t="s">
        <v>4331</v>
      </c>
      <c r="C4020" s="2" t="s">
        <v>4384</v>
      </c>
      <c r="D4020" s="3" t="str">
        <f t="shared" ref="D4020:D4022" si="465">HYPERLINK("https://12go.asia/en/travel/Cape-Town-International-Airport/Hout-Bay-Transfer", "12Go Link")</f>
        <v>12Go Link</v>
      </c>
      <c r="E4020" s="2" t="s">
        <v>191</v>
      </c>
    </row>
    <row r="4021">
      <c r="A4021" s="2" t="s">
        <v>4331</v>
      </c>
      <c r="B4021" s="2" t="s">
        <v>4331</v>
      </c>
      <c r="C4021" s="2" t="s">
        <v>4384</v>
      </c>
      <c r="D4021" s="3" t="str">
        <f t="shared" si="465"/>
        <v>12Go Link</v>
      </c>
      <c r="E4021" s="2" t="s">
        <v>192</v>
      </c>
    </row>
    <row r="4022">
      <c r="A4022" s="2" t="s">
        <v>4331</v>
      </c>
      <c r="B4022" s="2" t="s">
        <v>4331</v>
      </c>
      <c r="C4022" s="2" t="s">
        <v>4384</v>
      </c>
      <c r="D4022" s="3" t="str">
        <f t="shared" si="465"/>
        <v>12Go Link</v>
      </c>
      <c r="E4022" s="2" t="s">
        <v>193</v>
      </c>
    </row>
    <row r="4023">
      <c r="A4023" s="2" t="s">
        <v>4331</v>
      </c>
      <c r="B4023" s="2" t="s">
        <v>4331</v>
      </c>
      <c r="C4023" s="2" t="s">
        <v>4385</v>
      </c>
      <c r="D4023" s="3" t="str">
        <f t="shared" ref="D4023:D4025" si="466">HYPERLINK("https://12go.asia/en/travel/Cape-Town-International-Airport/Kommetjie-Transfer", "12Go Link")</f>
        <v>12Go Link</v>
      </c>
      <c r="E4023" s="2" t="s">
        <v>191</v>
      </c>
    </row>
    <row r="4024">
      <c r="A4024" s="2" t="s">
        <v>4331</v>
      </c>
      <c r="B4024" s="2" t="s">
        <v>4331</v>
      </c>
      <c r="C4024" s="2" t="s">
        <v>4385</v>
      </c>
      <c r="D4024" s="3" t="str">
        <f t="shared" si="466"/>
        <v>12Go Link</v>
      </c>
      <c r="E4024" s="2" t="s">
        <v>192</v>
      </c>
    </row>
    <row r="4025">
      <c r="A4025" s="2" t="s">
        <v>4331</v>
      </c>
      <c r="B4025" s="2" t="s">
        <v>4331</v>
      </c>
      <c r="C4025" s="2" t="s">
        <v>4385</v>
      </c>
      <c r="D4025" s="3" t="str">
        <f t="shared" si="466"/>
        <v>12Go Link</v>
      </c>
      <c r="E4025" s="2" t="s">
        <v>193</v>
      </c>
    </row>
    <row r="4026">
      <c r="A4026" s="2" t="s">
        <v>4331</v>
      </c>
      <c r="B4026" s="2" t="s">
        <v>4331</v>
      </c>
      <c r="C4026" s="2" t="s">
        <v>4386</v>
      </c>
      <c r="D4026" s="3" t="str">
        <f t="shared" ref="D4026:D4028" si="467">HYPERLINK("https://12go.asia/en/travel/Cape-Town-International-Airport/Llandudno-Transfer", "12Go Link")</f>
        <v>12Go Link</v>
      </c>
      <c r="E4026" s="2" t="s">
        <v>191</v>
      </c>
    </row>
    <row r="4027">
      <c r="A4027" s="2" t="s">
        <v>4331</v>
      </c>
      <c r="B4027" s="2" t="s">
        <v>4331</v>
      </c>
      <c r="C4027" s="2" t="s">
        <v>4386</v>
      </c>
      <c r="D4027" s="3" t="str">
        <f t="shared" si="467"/>
        <v>12Go Link</v>
      </c>
      <c r="E4027" s="2" t="s">
        <v>192</v>
      </c>
    </row>
    <row r="4028">
      <c r="A4028" s="2" t="s">
        <v>4331</v>
      </c>
      <c r="B4028" s="2" t="s">
        <v>4331</v>
      </c>
      <c r="C4028" s="2" t="s">
        <v>4386</v>
      </c>
      <c r="D4028" s="3" t="str">
        <f t="shared" si="467"/>
        <v>12Go Link</v>
      </c>
      <c r="E4028" s="2" t="s">
        <v>193</v>
      </c>
    </row>
    <row r="4029">
      <c r="A4029" s="2" t="s">
        <v>4331</v>
      </c>
      <c r="B4029" s="2" t="s">
        <v>4331</v>
      </c>
      <c r="C4029" s="2" t="s">
        <v>4387</v>
      </c>
      <c r="D4029" s="3" t="str">
        <f t="shared" ref="D4029:D4031" si="468">HYPERLINK("https://12go.asia/en/travel/Cape-Town-International-Airport/Matroosfontein-Transfer", "12Go Link")</f>
        <v>12Go Link</v>
      </c>
      <c r="E4029" s="2" t="s">
        <v>191</v>
      </c>
    </row>
    <row r="4030">
      <c r="A4030" s="2" t="s">
        <v>4331</v>
      </c>
      <c r="B4030" s="2" t="s">
        <v>4331</v>
      </c>
      <c r="C4030" s="2" t="s">
        <v>4387</v>
      </c>
      <c r="D4030" s="3" t="str">
        <f t="shared" si="468"/>
        <v>12Go Link</v>
      </c>
      <c r="E4030" s="2" t="s">
        <v>192</v>
      </c>
    </row>
    <row r="4031">
      <c r="A4031" s="2" t="s">
        <v>4331</v>
      </c>
      <c r="B4031" s="2" t="s">
        <v>4331</v>
      </c>
      <c r="C4031" s="2" t="s">
        <v>4387</v>
      </c>
      <c r="D4031" s="3" t="str">
        <f t="shared" si="468"/>
        <v>12Go Link</v>
      </c>
      <c r="E4031" s="2" t="s">
        <v>193</v>
      </c>
    </row>
    <row r="4032">
      <c r="A4032" s="2" t="s">
        <v>4331</v>
      </c>
      <c r="B4032" s="2" t="s">
        <v>4331</v>
      </c>
      <c r="C4032" s="2" t="s">
        <v>4388</v>
      </c>
      <c r="D4032" s="3" t="str">
        <f t="shared" ref="D4032:D4034" si="469">HYPERLINK("https://12go.asia/en/travel/Cape-Town-International-Airport/Mowbray-Transfer", "12Go Link")</f>
        <v>12Go Link</v>
      </c>
      <c r="E4032" s="2" t="s">
        <v>191</v>
      </c>
    </row>
    <row r="4033">
      <c r="A4033" s="2" t="s">
        <v>4331</v>
      </c>
      <c r="B4033" s="2" t="s">
        <v>4331</v>
      </c>
      <c r="C4033" s="2" t="s">
        <v>4388</v>
      </c>
      <c r="D4033" s="3" t="str">
        <f t="shared" si="469"/>
        <v>12Go Link</v>
      </c>
      <c r="E4033" s="2" t="s">
        <v>192</v>
      </c>
    </row>
    <row r="4034">
      <c r="A4034" s="2" t="s">
        <v>4331</v>
      </c>
      <c r="B4034" s="2" t="s">
        <v>4331</v>
      </c>
      <c r="C4034" s="2" t="s">
        <v>4388</v>
      </c>
      <c r="D4034" s="3" t="str">
        <f t="shared" si="469"/>
        <v>12Go Link</v>
      </c>
      <c r="E4034" s="2" t="s">
        <v>193</v>
      </c>
    </row>
    <row r="4035">
      <c r="A4035" s="2" t="s">
        <v>4331</v>
      </c>
      <c r="B4035" s="2" t="s">
        <v>4331</v>
      </c>
      <c r="C4035" s="2" t="s">
        <v>4389</v>
      </c>
      <c r="D4035" s="3" t="str">
        <f t="shared" ref="D4035:D4037" si="470">HYPERLINK("https://12go.asia/en/travel/Cape-Town-International-Airport/Muizenberg-Transfer", "12Go Link")</f>
        <v>12Go Link</v>
      </c>
      <c r="E4035" s="2" t="s">
        <v>191</v>
      </c>
    </row>
    <row r="4036">
      <c r="A4036" s="2" t="s">
        <v>4331</v>
      </c>
      <c r="B4036" s="2" t="s">
        <v>4331</v>
      </c>
      <c r="C4036" s="2" t="s">
        <v>4389</v>
      </c>
      <c r="D4036" s="3" t="str">
        <f t="shared" si="470"/>
        <v>12Go Link</v>
      </c>
      <c r="E4036" s="2" t="s">
        <v>192</v>
      </c>
    </row>
    <row r="4037">
      <c r="A4037" s="2" t="s">
        <v>4331</v>
      </c>
      <c r="B4037" s="2" t="s">
        <v>4331</v>
      </c>
      <c r="C4037" s="2" t="s">
        <v>4389</v>
      </c>
      <c r="D4037" s="3" t="str">
        <f t="shared" si="470"/>
        <v>12Go Link</v>
      </c>
      <c r="E4037" s="2" t="s">
        <v>193</v>
      </c>
    </row>
    <row r="4038">
      <c r="A4038" s="2" t="s">
        <v>4331</v>
      </c>
      <c r="B4038" s="2" t="s">
        <v>4331</v>
      </c>
      <c r="C4038" s="2" t="s">
        <v>4390</v>
      </c>
      <c r="D4038" s="3" t="str">
        <f t="shared" ref="D4038:D4040" si="471">HYPERLINK("https://12go.asia/en/travel/Cape-Town-International-Airport/Newlands-Transfer", "12Go Link")</f>
        <v>12Go Link</v>
      </c>
      <c r="E4038" s="2" t="s">
        <v>191</v>
      </c>
    </row>
    <row r="4039">
      <c r="A4039" s="2" t="s">
        <v>4331</v>
      </c>
      <c r="B4039" s="2" t="s">
        <v>4331</v>
      </c>
      <c r="C4039" s="2" t="s">
        <v>4390</v>
      </c>
      <c r="D4039" s="3" t="str">
        <f t="shared" si="471"/>
        <v>12Go Link</v>
      </c>
      <c r="E4039" s="2" t="s">
        <v>192</v>
      </c>
    </row>
    <row r="4040">
      <c r="A4040" s="2" t="s">
        <v>4331</v>
      </c>
      <c r="B4040" s="2" t="s">
        <v>4331</v>
      </c>
      <c r="C4040" s="2" t="s">
        <v>4390</v>
      </c>
      <c r="D4040" s="3" t="str">
        <f t="shared" si="471"/>
        <v>12Go Link</v>
      </c>
      <c r="E4040" s="2" t="s">
        <v>193</v>
      </c>
    </row>
    <row r="4041">
      <c r="A4041" s="2" t="s">
        <v>4331</v>
      </c>
      <c r="B4041" s="2" t="s">
        <v>4331</v>
      </c>
      <c r="C4041" s="2" t="s">
        <v>4391</v>
      </c>
      <c r="D4041" s="3" t="str">
        <f t="shared" ref="D4041:D4043" si="472">HYPERLINK("https://12go.asia/en/travel/Cape-Town-International-Airport/Parklands-Transfer", "12Go Link")</f>
        <v>12Go Link</v>
      </c>
      <c r="E4041" s="2" t="s">
        <v>191</v>
      </c>
    </row>
    <row r="4042">
      <c r="A4042" s="2" t="s">
        <v>4331</v>
      </c>
      <c r="B4042" s="2" t="s">
        <v>4331</v>
      </c>
      <c r="C4042" s="2" t="s">
        <v>4391</v>
      </c>
      <c r="D4042" s="3" t="str">
        <f t="shared" si="472"/>
        <v>12Go Link</v>
      </c>
      <c r="E4042" s="2" t="s">
        <v>192</v>
      </c>
    </row>
    <row r="4043">
      <c r="A4043" s="2" t="s">
        <v>4331</v>
      </c>
      <c r="B4043" s="2" t="s">
        <v>4331</v>
      </c>
      <c r="C4043" s="2" t="s">
        <v>4391</v>
      </c>
      <c r="D4043" s="3" t="str">
        <f t="shared" si="472"/>
        <v>12Go Link</v>
      </c>
      <c r="E4043" s="2" t="s">
        <v>193</v>
      </c>
    </row>
    <row r="4044">
      <c r="A4044" s="2" t="s">
        <v>4331</v>
      </c>
      <c r="B4044" s="2" t="s">
        <v>4331</v>
      </c>
      <c r="C4044" s="2" t="s">
        <v>4392</v>
      </c>
      <c r="D4044" s="3" t="str">
        <f t="shared" ref="D4044:D4046" si="473">HYPERLINK("https://12go.asia/en/travel/Cape-Town-International-Airport/Pinelands-Transfer", "12Go Link")</f>
        <v>12Go Link</v>
      </c>
      <c r="E4044" s="2" t="s">
        <v>191</v>
      </c>
    </row>
    <row r="4045">
      <c r="A4045" s="2" t="s">
        <v>4331</v>
      </c>
      <c r="B4045" s="2" t="s">
        <v>4331</v>
      </c>
      <c r="C4045" s="2" t="s">
        <v>4392</v>
      </c>
      <c r="D4045" s="3" t="str">
        <f t="shared" si="473"/>
        <v>12Go Link</v>
      </c>
      <c r="E4045" s="2" t="s">
        <v>192</v>
      </c>
    </row>
    <row r="4046">
      <c r="A4046" s="2" t="s">
        <v>4331</v>
      </c>
      <c r="B4046" s="2" t="s">
        <v>4331</v>
      </c>
      <c r="C4046" s="2" t="s">
        <v>4392</v>
      </c>
      <c r="D4046" s="3" t="str">
        <f t="shared" si="473"/>
        <v>12Go Link</v>
      </c>
      <c r="E4046" s="2" t="s">
        <v>193</v>
      </c>
    </row>
    <row r="4047">
      <c r="A4047" s="2" t="s">
        <v>4331</v>
      </c>
      <c r="B4047" s="2" t="s">
        <v>4331</v>
      </c>
      <c r="C4047" s="2" t="s">
        <v>4393</v>
      </c>
      <c r="D4047" s="3" t="str">
        <f t="shared" ref="D4047:D4049" si="474">HYPERLINK("https://12go.asia/en/travel/Cape-Town-International-Airport/Plattekloof-Transfer", "12Go Link")</f>
        <v>12Go Link</v>
      </c>
      <c r="E4047" s="2" t="s">
        <v>191</v>
      </c>
    </row>
    <row r="4048">
      <c r="A4048" s="2" t="s">
        <v>4331</v>
      </c>
      <c r="B4048" s="2" t="s">
        <v>4331</v>
      </c>
      <c r="C4048" s="2" t="s">
        <v>4393</v>
      </c>
      <c r="D4048" s="3" t="str">
        <f t="shared" si="474"/>
        <v>12Go Link</v>
      </c>
      <c r="E4048" s="2" t="s">
        <v>192</v>
      </c>
    </row>
    <row r="4049">
      <c r="A4049" s="2" t="s">
        <v>4331</v>
      </c>
      <c r="B4049" s="2" t="s">
        <v>4331</v>
      </c>
      <c r="C4049" s="2" t="s">
        <v>4393</v>
      </c>
      <c r="D4049" s="3" t="str">
        <f t="shared" si="474"/>
        <v>12Go Link</v>
      </c>
      <c r="E4049" s="2" t="s">
        <v>193</v>
      </c>
    </row>
    <row r="4050">
      <c r="A4050" s="2" t="s">
        <v>4331</v>
      </c>
      <c r="B4050" s="2" t="s">
        <v>4331</v>
      </c>
      <c r="C4050" s="2" t="s">
        <v>4394</v>
      </c>
      <c r="D4050" s="3" t="str">
        <f t="shared" ref="D4050:D4052" si="475">HYPERLINK("https://12go.asia/en/travel/Cape-Town-International-Airport/Plumstead-Transfer", "12Go Link")</f>
        <v>12Go Link</v>
      </c>
      <c r="E4050" s="2" t="s">
        <v>191</v>
      </c>
    </row>
    <row r="4051">
      <c r="A4051" s="2" t="s">
        <v>4331</v>
      </c>
      <c r="B4051" s="2" t="s">
        <v>4331</v>
      </c>
      <c r="C4051" s="2" t="s">
        <v>4394</v>
      </c>
      <c r="D4051" s="3" t="str">
        <f t="shared" si="475"/>
        <v>12Go Link</v>
      </c>
      <c r="E4051" s="2" t="s">
        <v>192</v>
      </c>
    </row>
    <row r="4052">
      <c r="A4052" s="2" t="s">
        <v>4331</v>
      </c>
      <c r="B4052" s="2" t="s">
        <v>4331</v>
      </c>
      <c r="C4052" s="2" t="s">
        <v>4394</v>
      </c>
      <c r="D4052" s="3" t="str">
        <f t="shared" si="475"/>
        <v>12Go Link</v>
      </c>
      <c r="E4052" s="2" t="s">
        <v>193</v>
      </c>
    </row>
    <row r="4053">
      <c r="A4053" s="2" t="s">
        <v>4331</v>
      </c>
      <c r="B4053" s="2" t="s">
        <v>4331</v>
      </c>
      <c r="C4053" s="2" t="s">
        <v>4395</v>
      </c>
      <c r="D4053" s="3" t="str">
        <f t="shared" ref="D4053:D4055" si="476">HYPERLINK("https://12go.asia/en/travel/Cape-Town-International-Airport/Rondebosch-Transfer", "12Go Link")</f>
        <v>12Go Link</v>
      </c>
      <c r="E4053" s="2" t="s">
        <v>191</v>
      </c>
    </row>
    <row r="4054">
      <c r="A4054" s="2" t="s">
        <v>4331</v>
      </c>
      <c r="B4054" s="2" t="s">
        <v>4331</v>
      </c>
      <c r="C4054" s="2" t="s">
        <v>4395</v>
      </c>
      <c r="D4054" s="3" t="str">
        <f t="shared" si="476"/>
        <v>12Go Link</v>
      </c>
      <c r="E4054" s="2" t="s">
        <v>192</v>
      </c>
    </row>
    <row r="4055">
      <c r="A4055" s="2" t="s">
        <v>4331</v>
      </c>
      <c r="B4055" s="2" t="s">
        <v>4331</v>
      </c>
      <c r="C4055" s="2" t="s">
        <v>4395</v>
      </c>
      <c r="D4055" s="3" t="str">
        <f t="shared" si="476"/>
        <v>12Go Link</v>
      </c>
      <c r="E4055" s="2" t="s">
        <v>193</v>
      </c>
    </row>
    <row r="4056">
      <c r="A4056" s="2" t="s">
        <v>4331</v>
      </c>
      <c r="B4056" s="2" t="s">
        <v>4331</v>
      </c>
      <c r="C4056" s="2" t="s">
        <v>4396</v>
      </c>
      <c r="D4056" s="3" t="str">
        <f t="shared" ref="D4056:D4058" si="477">HYPERLINK("https://12go.asia/en/travel/Cape-Town-International-Airport/Scarborough-Transfer", "12Go Link")</f>
        <v>12Go Link</v>
      </c>
      <c r="E4056" s="2" t="s">
        <v>191</v>
      </c>
    </row>
    <row r="4057">
      <c r="A4057" s="2" t="s">
        <v>4331</v>
      </c>
      <c r="B4057" s="2" t="s">
        <v>4331</v>
      </c>
      <c r="C4057" s="2" t="s">
        <v>4396</v>
      </c>
      <c r="D4057" s="3" t="str">
        <f t="shared" si="477"/>
        <v>12Go Link</v>
      </c>
      <c r="E4057" s="2" t="s">
        <v>192</v>
      </c>
    </row>
    <row r="4058">
      <c r="A4058" s="2" t="s">
        <v>4331</v>
      </c>
      <c r="B4058" s="2" t="s">
        <v>4331</v>
      </c>
      <c r="C4058" s="2" t="s">
        <v>4396</v>
      </c>
      <c r="D4058" s="3" t="str">
        <f t="shared" si="477"/>
        <v>12Go Link</v>
      </c>
      <c r="E4058" s="2" t="s">
        <v>193</v>
      </c>
    </row>
    <row r="4059">
      <c r="A4059" s="2" t="s">
        <v>4331</v>
      </c>
      <c r="B4059" s="2" t="s">
        <v>4331</v>
      </c>
      <c r="C4059" s="2" t="s">
        <v>4397</v>
      </c>
      <c r="D4059" s="3" t="str">
        <f t="shared" ref="D4059:D4061" si="478">HYPERLINK("https://12go.asia/en/travel/Cape-Town-International-Airport/Sea-Point-Transfer", "12Go Link")</f>
        <v>12Go Link</v>
      </c>
      <c r="E4059" s="2" t="s">
        <v>191</v>
      </c>
    </row>
    <row r="4060">
      <c r="A4060" s="2" t="s">
        <v>4331</v>
      </c>
      <c r="B4060" s="2" t="s">
        <v>4331</v>
      </c>
      <c r="C4060" s="2" t="s">
        <v>4397</v>
      </c>
      <c r="D4060" s="3" t="str">
        <f t="shared" si="478"/>
        <v>12Go Link</v>
      </c>
      <c r="E4060" s="2" t="s">
        <v>192</v>
      </c>
    </row>
    <row r="4061">
      <c r="A4061" s="2" t="s">
        <v>4331</v>
      </c>
      <c r="B4061" s="2" t="s">
        <v>4331</v>
      </c>
      <c r="C4061" s="2" t="s">
        <v>4397</v>
      </c>
      <c r="D4061" s="3" t="str">
        <f t="shared" si="478"/>
        <v>12Go Link</v>
      </c>
      <c r="E4061" s="2" t="s">
        <v>193</v>
      </c>
    </row>
    <row r="4062">
      <c r="A4062" s="2" t="s">
        <v>4331</v>
      </c>
      <c r="B4062" s="2" t="s">
        <v>4331</v>
      </c>
      <c r="C4062" s="2" t="s">
        <v>4398</v>
      </c>
      <c r="D4062" s="3" t="str">
        <f t="shared" ref="D4062:D4064" si="479">HYPERLINK("https://12go.asia/en/travel/Cape-Town-International-Airport/Simons-Town-Transfer", "12Go Link")</f>
        <v>12Go Link</v>
      </c>
      <c r="E4062" s="2" t="s">
        <v>191</v>
      </c>
    </row>
    <row r="4063">
      <c r="A4063" s="2" t="s">
        <v>4331</v>
      </c>
      <c r="B4063" s="2" t="s">
        <v>4331</v>
      </c>
      <c r="C4063" s="2" t="s">
        <v>4398</v>
      </c>
      <c r="D4063" s="3" t="str">
        <f t="shared" si="479"/>
        <v>12Go Link</v>
      </c>
      <c r="E4063" s="2" t="s">
        <v>192</v>
      </c>
    </row>
    <row r="4064">
      <c r="A4064" s="2" t="s">
        <v>4331</v>
      </c>
      <c r="B4064" s="2" t="s">
        <v>4331</v>
      </c>
      <c r="C4064" s="2" t="s">
        <v>4398</v>
      </c>
      <c r="D4064" s="3" t="str">
        <f t="shared" si="479"/>
        <v>12Go Link</v>
      </c>
      <c r="E4064" s="2" t="s">
        <v>193</v>
      </c>
    </row>
    <row r="4065">
      <c r="A4065" s="2" t="s">
        <v>4331</v>
      </c>
      <c r="B4065" s="2" t="s">
        <v>4331</v>
      </c>
      <c r="C4065" s="2" t="s">
        <v>4399</v>
      </c>
      <c r="D4065" s="3" t="str">
        <f t="shared" ref="D4065:D4067" si="480">HYPERLINK("https://12go.asia/en/travel/Cape-Town-International-Airport/St-James-Transfer", "12Go Link")</f>
        <v>12Go Link</v>
      </c>
      <c r="E4065" s="2" t="s">
        <v>191</v>
      </c>
    </row>
    <row r="4066">
      <c r="A4066" s="2" t="s">
        <v>4331</v>
      </c>
      <c r="B4066" s="2" t="s">
        <v>4331</v>
      </c>
      <c r="C4066" s="2" t="s">
        <v>4399</v>
      </c>
      <c r="D4066" s="3" t="str">
        <f t="shared" si="480"/>
        <v>12Go Link</v>
      </c>
      <c r="E4066" s="2" t="s">
        <v>192</v>
      </c>
    </row>
    <row r="4067">
      <c r="A4067" s="2" t="s">
        <v>4331</v>
      </c>
      <c r="B4067" s="2" t="s">
        <v>4331</v>
      </c>
      <c r="C4067" s="2" t="s">
        <v>4399</v>
      </c>
      <c r="D4067" s="3" t="str">
        <f t="shared" si="480"/>
        <v>12Go Link</v>
      </c>
      <c r="E4067" s="2" t="s">
        <v>193</v>
      </c>
    </row>
    <row r="4068">
      <c r="A4068" s="2" t="s">
        <v>4331</v>
      </c>
      <c r="B4068" s="2" t="s">
        <v>4331</v>
      </c>
      <c r="C4068" s="2" t="s">
        <v>4400</v>
      </c>
      <c r="D4068" s="3" t="str">
        <f t="shared" ref="D4068:D4070" si="481">HYPERLINK("https://12go.asia/en/travel/Cape-Town-International-Airport/Stellenberg-Transfer", "12Go Link")</f>
        <v>12Go Link</v>
      </c>
      <c r="E4068" s="2" t="s">
        <v>191</v>
      </c>
    </row>
    <row r="4069">
      <c r="A4069" s="2" t="s">
        <v>4331</v>
      </c>
      <c r="B4069" s="2" t="s">
        <v>4331</v>
      </c>
      <c r="C4069" s="2" t="s">
        <v>4400</v>
      </c>
      <c r="D4069" s="3" t="str">
        <f t="shared" si="481"/>
        <v>12Go Link</v>
      </c>
      <c r="E4069" s="2" t="s">
        <v>192</v>
      </c>
    </row>
    <row r="4070">
      <c r="A4070" s="2" t="s">
        <v>4331</v>
      </c>
      <c r="B4070" s="2" t="s">
        <v>4331</v>
      </c>
      <c r="C4070" s="2" t="s">
        <v>4400</v>
      </c>
      <c r="D4070" s="3" t="str">
        <f t="shared" si="481"/>
        <v>12Go Link</v>
      </c>
      <c r="E4070" s="2" t="s">
        <v>193</v>
      </c>
    </row>
    <row r="4071">
      <c r="A4071" s="2" t="s">
        <v>4331</v>
      </c>
      <c r="B4071" s="2" t="s">
        <v>4331</v>
      </c>
      <c r="C4071" s="2" t="s">
        <v>4401</v>
      </c>
      <c r="D4071" s="3" t="str">
        <f t="shared" ref="D4071:D4073" si="482">HYPERLINK("https://12go.asia/en/travel/Cape-Town-International-Airport/Strand-Area-Transfer", "12Go Link")</f>
        <v>12Go Link</v>
      </c>
      <c r="E4071" s="2" t="s">
        <v>191</v>
      </c>
    </row>
    <row r="4072">
      <c r="A4072" s="2" t="s">
        <v>4331</v>
      </c>
      <c r="B4072" s="2" t="s">
        <v>4331</v>
      </c>
      <c r="C4072" s="2" t="s">
        <v>4401</v>
      </c>
      <c r="D4072" s="3" t="str">
        <f t="shared" si="482"/>
        <v>12Go Link</v>
      </c>
      <c r="E4072" s="2" t="s">
        <v>192</v>
      </c>
    </row>
    <row r="4073">
      <c r="A4073" s="2" t="s">
        <v>4331</v>
      </c>
      <c r="B4073" s="2" t="s">
        <v>4331</v>
      </c>
      <c r="C4073" s="2" t="s">
        <v>4401</v>
      </c>
      <c r="D4073" s="3" t="str">
        <f t="shared" si="482"/>
        <v>12Go Link</v>
      </c>
      <c r="E4073" s="2" t="s">
        <v>193</v>
      </c>
    </row>
    <row r="4074">
      <c r="A4074" s="2" t="s">
        <v>4331</v>
      </c>
      <c r="B4074" s="2" t="s">
        <v>4331</v>
      </c>
      <c r="C4074" s="2" t="s">
        <v>4402</v>
      </c>
      <c r="D4074" s="3" t="str">
        <f t="shared" ref="D4074:D4076" si="483">HYPERLINK("https://12go.asia/en/travel/Cape-Town-International-Airport/Sunset-Beach-Transfer", "12Go Link")</f>
        <v>12Go Link</v>
      </c>
      <c r="E4074" s="2" t="s">
        <v>191</v>
      </c>
    </row>
    <row r="4075">
      <c r="A4075" s="2" t="s">
        <v>4331</v>
      </c>
      <c r="B4075" s="2" t="s">
        <v>4331</v>
      </c>
      <c r="C4075" s="2" t="s">
        <v>4402</v>
      </c>
      <c r="D4075" s="3" t="str">
        <f t="shared" si="483"/>
        <v>12Go Link</v>
      </c>
      <c r="E4075" s="2" t="s">
        <v>192</v>
      </c>
    </row>
    <row r="4076">
      <c r="A4076" s="2" t="s">
        <v>4331</v>
      </c>
      <c r="B4076" s="2" t="s">
        <v>4331</v>
      </c>
      <c r="C4076" s="2" t="s">
        <v>4402</v>
      </c>
      <c r="D4076" s="3" t="str">
        <f t="shared" si="483"/>
        <v>12Go Link</v>
      </c>
      <c r="E4076" s="2" t="s">
        <v>193</v>
      </c>
    </row>
    <row r="4077">
      <c r="A4077" s="2" t="s">
        <v>4331</v>
      </c>
      <c r="B4077" s="2" t="s">
        <v>4331</v>
      </c>
      <c r="C4077" s="2" t="s">
        <v>4403</v>
      </c>
      <c r="D4077" s="3" t="str">
        <f t="shared" ref="D4077:D4079" si="484">HYPERLINK("https://12go.asia/en/travel/Cape-Town-International-Airport/Table-Mountain-Transfer", "12Go Link")</f>
        <v>12Go Link</v>
      </c>
      <c r="E4077" s="2" t="s">
        <v>191</v>
      </c>
    </row>
    <row r="4078">
      <c r="A4078" s="2" t="s">
        <v>4331</v>
      </c>
      <c r="B4078" s="2" t="s">
        <v>4331</v>
      </c>
      <c r="C4078" s="2" t="s">
        <v>4403</v>
      </c>
      <c r="D4078" s="3" t="str">
        <f t="shared" si="484"/>
        <v>12Go Link</v>
      </c>
      <c r="E4078" s="2" t="s">
        <v>192</v>
      </c>
    </row>
    <row r="4079">
      <c r="A4079" s="2" t="s">
        <v>4331</v>
      </c>
      <c r="B4079" s="2" t="s">
        <v>4331</v>
      </c>
      <c r="C4079" s="2" t="s">
        <v>4403</v>
      </c>
      <c r="D4079" s="3" t="str">
        <f t="shared" si="484"/>
        <v>12Go Link</v>
      </c>
      <c r="E4079" s="2" t="s">
        <v>193</v>
      </c>
    </row>
    <row r="4080">
      <c r="A4080" s="2" t="s">
        <v>4331</v>
      </c>
      <c r="B4080" s="2" t="s">
        <v>4331</v>
      </c>
      <c r="C4080" s="2" t="s">
        <v>4404</v>
      </c>
      <c r="D4080" s="3" t="str">
        <f t="shared" ref="D4080:D4082" si="485">HYPERLINK("https://12go.asia/en/travel/Cape-Town-International-Airport/Table-View-Transfer", "12Go Link")</f>
        <v>12Go Link</v>
      </c>
      <c r="E4080" s="2" t="s">
        <v>191</v>
      </c>
    </row>
    <row r="4081">
      <c r="A4081" s="2" t="s">
        <v>4331</v>
      </c>
      <c r="B4081" s="2" t="s">
        <v>4331</v>
      </c>
      <c r="C4081" s="2" t="s">
        <v>4404</v>
      </c>
      <c r="D4081" s="3" t="str">
        <f t="shared" si="485"/>
        <v>12Go Link</v>
      </c>
      <c r="E4081" s="2" t="s">
        <v>192</v>
      </c>
    </row>
    <row r="4082">
      <c r="A4082" s="2" t="s">
        <v>4331</v>
      </c>
      <c r="B4082" s="2" t="s">
        <v>4331</v>
      </c>
      <c r="C4082" s="2" t="s">
        <v>4404</v>
      </c>
      <c r="D4082" s="3" t="str">
        <f t="shared" si="485"/>
        <v>12Go Link</v>
      </c>
      <c r="E4082" s="2" t="s">
        <v>193</v>
      </c>
    </row>
    <row r="4083">
      <c r="A4083" s="2" t="s">
        <v>4331</v>
      </c>
      <c r="B4083" s="2" t="s">
        <v>4331</v>
      </c>
      <c r="C4083" s="2" t="s">
        <v>4405</v>
      </c>
      <c r="D4083" s="3" t="str">
        <f t="shared" ref="D4083:D4085" si="486">HYPERLINK("https://12go.asia/en/travel/Cape-Town-International-Airport/Tamboerskloof-Transfer", "12Go Link")</f>
        <v>12Go Link</v>
      </c>
      <c r="E4083" s="2" t="s">
        <v>191</v>
      </c>
    </row>
    <row r="4084">
      <c r="A4084" s="2" t="s">
        <v>4331</v>
      </c>
      <c r="B4084" s="2" t="s">
        <v>4331</v>
      </c>
      <c r="C4084" s="2" t="s">
        <v>4405</v>
      </c>
      <c r="D4084" s="3" t="str">
        <f t="shared" si="486"/>
        <v>12Go Link</v>
      </c>
      <c r="E4084" s="2" t="s">
        <v>192</v>
      </c>
    </row>
    <row r="4085">
      <c r="A4085" s="2" t="s">
        <v>4331</v>
      </c>
      <c r="B4085" s="2" t="s">
        <v>4331</v>
      </c>
      <c r="C4085" s="2" t="s">
        <v>4405</v>
      </c>
      <c r="D4085" s="3" t="str">
        <f t="shared" si="486"/>
        <v>12Go Link</v>
      </c>
      <c r="E4085" s="2" t="s">
        <v>193</v>
      </c>
    </row>
    <row r="4086">
      <c r="A4086" s="2" t="s">
        <v>4331</v>
      </c>
      <c r="B4086" s="2" t="s">
        <v>4331</v>
      </c>
      <c r="C4086" s="2" t="s">
        <v>4406</v>
      </c>
      <c r="D4086" s="3" t="str">
        <f t="shared" ref="D4086:D4088" si="487">HYPERLINK("https://12go.asia/en/travel/Cape-Town-International-Airport/Tokai-Transfer", "12Go Link")</f>
        <v>12Go Link</v>
      </c>
      <c r="E4086" s="2" t="s">
        <v>191</v>
      </c>
    </row>
    <row r="4087">
      <c r="A4087" s="2" t="s">
        <v>4331</v>
      </c>
      <c r="B4087" s="2" t="s">
        <v>4331</v>
      </c>
      <c r="C4087" s="2" t="s">
        <v>4406</v>
      </c>
      <c r="D4087" s="3" t="str">
        <f t="shared" si="487"/>
        <v>12Go Link</v>
      </c>
      <c r="E4087" s="2" t="s">
        <v>192</v>
      </c>
    </row>
    <row r="4088">
      <c r="A4088" s="2" t="s">
        <v>4331</v>
      </c>
      <c r="B4088" s="2" t="s">
        <v>4331</v>
      </c>
      <c r="C4088" s="2" t="s">
        <v>4406</v>
      </c>
      <c r="D4088" s="3" t="str">
        <f t="shared" si="487"/>
        <v>12Go Link</v>
      </c>
      <c r="E4088" s="2" t="s">
        <v>193</v>
      </c>
    </row>
    <row r="4089">
      <c r="A4089" s="2" t="s">
        <v>4331</v>
      </c>
      <c r="B4089" s="2" t="s">
        <v>4331</v>
      </c>
      <c r="C4089" s="2" t="s">
        <v>4407</v>
      </c>
      <c r="D4089" s="3" t="str">
        <f t="shared" ref="D4089:D4091" si="488">HYPERLINK("https://12go.asia/en/travel/Cape-Town-International-Airport/V-and-A-Waterfront-Transfer", "12Go Link")</f>
        <v>12Go Link</v>
      </c>
      <c r="E4089" s="2" t="s">
        <v>191</v>
      </c>
    </row>
    <row r="4090">
      <c r="A4090" s="2" t="s">
        <v>4331</v>
      </c>
      <c r="B4090" s="2" t="s">
        <v>4331</v>
      </c>
      <c r="C4090" s="2" t="s">
        <v>4407</v>
      </c>
      <c r="D4090" s="3" t="str">
        <f t="shared" si="488"/>
        <v>12Go Link</v>
      </c>
      <c r="E4090" s="2" t="s">
        <v>192</v>
      </c>
    </row>
    <row r="4091">
      <c r="A4091" s="2" t="s">
        <v>4331</v>
      </c>
      <c r="B4091" s="2" t="s">
        <v>4331</v>
      </c>
      <c r="C4091" s="2" t="s">
        <v>4407</v>
      </c>
      <c r="D4091" s="3" t="str">
        <f t="shared" si="488"/>
        <v>12Go Link</v>
      </c>
      <c r="E4091" s="2" t="s">
        <v>193</v>
      </c>
    </row>
    <row r="4092">
      <c r="A4092" s="2" t="s">
        <v>4331</v>
      </c>
      <c r="B4092" s="2" t="s">
        <v>4331</v>
      </c>
      <c r="C4092" s="2" t="s">
        <v>4408</v>
      </c>
      <c r="D4092" s="3" t="str">
        <f t="shared" ref="D4092:D4094" si="489">HYPERLINK("https://12go.asia/en/travel/Cape-Town-International-Airport/Wynberg-Transfer", "12Go Link")</f>
        <v>12Go Link</v>
      </c>
      <c r="E4092" s="2" t="s">
        <v>191</v>
      </c>
    </row>
    <row r="4093">
      <c r="A4093" s="2" t="s">
        <v>4331</v>
      </c>
      <c r="B4093" s="2" t="s">
        <v>4331</v>
      </c>
      <c r="C4093" s="2" t="s">
        <v>4408</v>
      </c>
      <c r="D4093" s="3" t="str">
        <f t="shared" si="489"/>
        <v>12Go Link</v>
      </c>
      <c r="E4093" s="2" t="s">
        <v>192</v>
      </c>
    </row>
    <row r="4094">
      <c r="A4094" s="2" t="s">
        <v>4331</v>
      </c>
      <c r="B4094" s="2" t="s">
        <v>4331</v>
      </c>
      <c r="C4094" s="2" t="s">
        <v>4408</v>
      </c>
      <c r="D4094" s="3" t="str">
        <f t="shared" si="489"/>
        <v>12Go Link</v>
      </c>
      <c r="E4094" s="2" t="s">
        <v>193</v>
      </c>
    </row>
    <row r="4095">
      <c r="A4095" s="2" t="s">
        <v>4331</v>
      </c>
      <c r="B4095" s="2" t="s">
        <v>4331</v>
      </c>
      <c r="C4095" s="2" t="s">
        <v>4409</v>
      </c>
      <c r="D4095" s="3" t="str">
        <f t="shared" ref="D4095:D4097" si="490">HYPERLINK("https://12go.asia/en/travel/Cape-Town-Port/Cape-Town-International-Airport", "12Go Link")</f>
        <v>12Go Link</v>
      </c>
      <c r="E4095" s="2" t="s">
        <v>191</v>
      </c>
    </row>
    <row r="4096">
      <c r="A4096" s="2" t="s">
        <v>4331</v>
      </c>
      <c r="B4096" s="2" t="s">
        <v>4331</v>
      </c>
      <c r="C4096" s="2" t="s">
        <v>4409</v>
      </c>
      <c r="D4096" s="3" t="str">
        <f t="shared" si="490"/>
        <v>12Go Link</v>
      </c>
      <c r="E4096" s="2" t="s">
        <v>192</v>
      </c>
    </row>
    <row r="4097">
      <c r="A4097" s="2" t="s">
        <v>4331</v>
      </c>
      <c r="B4097" s="2" t="s">
        <v>4331</v>
      </c>
      <c r="C4097" s="2" t="s">
        <v>4409</v>
      </c>
      <c r="D4097" s="3" t="str">
        <f t="shared" si="490"/>
        <v>12Go Link</v>
      </c>
      <c r="E4097" s="2" t="s">
        <v>193</v>
      </c>
    </row>
    <row r="4098">
      <c r="A4098" s="2" t="s">
        <v>4331</v>
      </c>
      <c r="B4098" s="2" t="s">
        <v>4331</v>
      </c>
      <c r="C4098" s="2" t="s">
        <v>4410</v>
      </c>
      <c r="D4098" s="3" t="str">
        <f t="shared" ref="D4098:D4100" si="491">HYPERLINK("https://12go.asia/en/travel/Cape-Town-Railway-Station-Transfer/Cape-Town-International-Airport", "12Go Link")</f>
        <v>12Go Link</v>
      </c>
      <c r="E4098" s="2" t="s">
        <v>191</v>
      </c>
    </row>
    <row r="4099">
      <c r="A4099" s="2" t="s">
        <v>4331</v>
      </c>
      <c r="B4099" s="2" t="s">
        <v>4331</v>
      </c>
      <c r="C4099" s="2" t="s">
        <v>4410</v>
      </c>
      <c r="D4099" s="3" t="str">
        <f t="shared" si="491"/>
        <v>12Go Link</v>
      </c>
      <c r="E4099" s="2" t="s">
        <v>192</v>
      </c>
    </row>
    <row r="4100">
      <c r="A4100" s="2" t="s">
        <v>4331</v>
      </c>
      <c r="B4100" s="2" t="s">
        <v>4331</v>
      </c>
      <c r="C4100" s="2" t="s">
        <v>4410</v>
      </c>
      <c r="D4100" s="3" t="str">
        <f t="shared" si="491"/>
        <v>12Go Link</v>
      </c>
      <c r="E4100" s="2" t="s">
        <v>193</v>
      </c>
    </row>
    <row r="4101">
      <c r="A4101" s="2" t="s">
        <v>4331</v>
      </c>
      <c r="B4101" s="2" t="s">
        <v>4331</v>
      </c>
      <c r="C4101" s="2" t="s">
        <v>4411</v>
      </c>
      <c r="D4101" s="3" t="str">
        <f t="shared" ref="D4101:D4103" si="492">HYPERLINK("https://12go.asia/en/travel/Cape-Town-Transfer/Cape-Town-International-Airport", "12Go Link")</f>
        <v>12Go Link</v>
      </c>
      <c r="E4101" s="2" t="s">
        <v>191</v>
      </c>
    </row>
    <row r="4102">
      <c r="A4102" s="2" t="s">
        <v>4331</v>
      </c>
      <c r="B4102" s="2" t="s">
        <v>4331</v>
      </c>
      <c r="C4102" s="2" t="s">
        <v>4411</v>
      </c>
      <c r="D4102" s="3" t="str">
        <f t="shared" si="492"/>
        <v>12Go Link</v>
      </c>
      <c r="E4102" s="2" t="s">
        <v>192</v>
      </c>
    </row>
    <row r="4103">
      <c r="A4103" s="2" t="s">
        <v>4331</v>
      </c>
      <c r="B4103" s="2" t="s">
        <v>4331</v>
      </c>
      <c r="C4103" s="2" t="s">
        <v>4411</v>
      </c>
      <c r="D4103" s="3" t="str">
        <f t="shared" si="492"/>
        <v>12Go Link</v>
      </c>
      <c r="E4103" s="2" t="s">
        <v>193</v>
      </c>
    </row>
    <row r="4104">
      <c r="A4104" s="2" t="s">
        <v>4331</v>
      </c>
      <c r="B4104" s="2" t="s">
        <v>4331</v>
      </c>
      <c r="C4104" s="2" t="s">
        <v>4412</v>
      </c>
      <c r="D4104" s="3" t="str">
        <f t="shared" ref="D4104:D4106" si="493">HYPERLINK("https://12go.asia/en/travel/Century-City-Transfer/Cape-Town-International-Airport", "12Go Link")</f>
        <v>12Go Link</v>
      </c>
      <c r="E4104" s="2" t="s">
        <v>191</v>
      </c>
    </row>
    <row r="4105">
      <c r="A4105" s="2" t="s">
        <v>4331</v>
      </c>
      <c r="B4105" s="2" t="s">
        <v>4331</v>
      </c>
      <c r="C4105" s="2" t="s">
        <v>4412</v>
      </c>
      <c r="D4105" s="3" t="str">
        <f t="shared" si="493"/>
        <v>12Go Link</v>
      </c>
      <c r="E4105" s="2" t="s">
        <v>192</v>
      </c>
    </row>
    <row r="4106">
      <c r="A4106" s="2" t="s">
        <v>4331</v>
      </c>
      <c r="B4106" s="2" t="s">
        <v>4331</v>
      </c>
      <c r="C4106" s="2" t="s">
        <v>4412</v>
      </c>
      <c r="D4106" s="3" t="str">
        <f t="shared" si="493"/>
        <v>12Go Link</v>
      </c>
      <c r="E4106" s="2" t="s">
        <v>193</v>
      </c>
    </row>
    <row r="4107">
      <c r="A4107" s="2" t="s">
        <v>4331</v>
      </c>
      <c r="B4107" s="2" t="s">
        <v>4331</v>
      </c>
      <c r="C4107" s="2" t="s">
        <v>4413</v>
      </c>
      <c r="D4107" s="3" t="str">
        <f t="shared" ref="D4107:D4109" si="494">HYPERLINK("https://12go.asia/en/travel/Chapmans-Peak-Transfer/Cape-Town-International-Airport", "12Go Link")</f>
        <v>12Go Link</v>
      </c>
      <c r="E4107" s="2" t="s">
        <v>191</v>
      </c>
    </row>
    <row r="4108">
      <c r="A4108" s="2" t="s">
        <v>4331</v>
      </c>
      <c r="B4108" s="2" t="s">
        <v>4331</v>
      </c>
      <c r="C4108" s="2" t="s">
        <v>4413</v>
      </c>
      <c r="D4108" s="3" t="str">
        <f t="shared" si="494"/>
        <v>12Go Link</v>
      </c>
      <c r="E4108" s="2" t="s">
        <v>192</v>
      </c>
    </row>
    <row r="4109">
      <c r="A4109" s="2" t="s">
        <v>4331</v>
      </c>
      <c r="B4109" s="2" t="s">
        <v>4331</v>
      </c>
      <c r="C4109" s="2" t="s">
        <v>4413</v>
      </c>
      <c r="D4109" s="3" t="str">
        <f t="shared" si="494"/>
        <v>12Go Link</v>
      </c>
      <c r="E4109" s="2" t="s">
        <v>193</v>
      </c>
    </row>
    <row r="4110">
      <c r="A4110" s="2" t="s">
        <v>4331</v>
      </c>
      <c r="B4110" s="2" t="s">
        <v>4331</v>
      </c>
      <c r="C4110" s="2" t="s">
        <v>4414</v>
      </c>
      <c r="D4110" s="3" t="str">
        <f t="shared" ref="D4110:D4112" si="495">HYPERLINK("https://12go.asia/en/travel/Claremont-Transfer/Cape-Town-International-Airport", "12Go Link")</f>
        <v>12Go Link</v>
      </c>
      <c r="E4110" s="2" t="s">
        <v>191</v>
      </c>
    </row>
    <row r="4111">
      <c r="A4111" s="2" t="s">
        <v>4331</v>
      </c>
      <c r="B4111" s="2" t="s">
        <v>4331</v>
      </c>
      <c r="C4111" s="2" t="s">
        <v>4414</v>
      </c>
      <c r="D4111" s="3" t="str">
        <f t="shared" si="495"/>
        <v>12Go Link</v>
      </c>
      <c r="E4111" s="2" t="s">
        <v>192</v>
      </c>
    </row>
    <row r="4112">
      <c r="A4112" s="2" t="s">
        <v>4331</v>
      </c>
      <c r="B4112" s="2" t="s">
        <v>4331</v>
      </c>
      <c r="C4112" s="2" t="s">
        <v>4414</v>
      </c>
      <c r="D4112" s="3" t="str">
        <f t="shared" si="495"/>
        <v>12Go Link</v>
      </c>
      <c r="E4112" s="2" t="s">
        <v>193</v>
      </c>
    </row>
    <row r="4113">
      <c r="A4113" s="2" t="s">
        <v>4331</v>
      </c>
      <c r="B4113" s="2" t="s">
        <v>4331</v>
      </c>
      <c r="C4113" s="2" t="s">
        <v>4415</v>
      </c>
      <c r="D4113" s="3" t="str">
        <f t="shared" ref="D4113:D4115" si="496">HYPERLINK("https://12go.asia/en/travel/Clifton-Transfer/Cape-Town-International-Airport", "12Go Link")</f>
        <v>12Go Link</v>
      </c>
      <c r="E4113" s="2" t="s">
        <v>191</v>
      </c>
    </row>
    <row r="4114">
      <c r="A4114" s="2" t="s">
        <v>4331</v>
      </c>
      <c r="B4114" s="2" t="s">
        <v>4331</v>
      </c>
      <c r="C4114" s="2" t="s">
        <v>4415</v>
      </c>
      <c r="D4114" s="3" t="str">
        <f t="shared" si="496"/>
        <v>12Go Link</v>
      </c>
      <c r="E4114" s="2" t="s">
        <v>192</v>
      </c>
    </row>
    <row r="4115">
      <c r="A4115" s="2" t="s">
        <v>4331</v>
      </c>
      <c r="B4115" s="2" t="s">
        <v>4331</v>
      </c>
      <c r="C4115" s="2" t="s">
        <v>4415</v>
      </c>
      <c r="D4115" s="3" t="str">
        <f t="shared" si="496"/>
        <v>12Go Link</v>
      </c>
      <c r="E4115" s="2" t="s">
        <v>193</v>
      </c>
    </row>
    <row r="4116">
      <c r="A4116" s="2" t="s">
        <v>4331</v>
      </c>
      <c r="B4116" s="2" t="s">
        <v>4331</v>
      </c>
      <c r="C4116" s="2" t="s">
        <v>4416</v>
      </c>
      <c r="D4116" s="3" t="str">
        <f t="shared" ref="D4116:D4118" si="497">HYPERLINK("https://12go.asia/en/travel/Constantia-Transfer/Cape-Town-International-Airport", "12Go Link")</f>
        <v>12Go Link</v>
      </c>
      <c r="E4116" s="2" t="s">
        <v>191</v>
      </c>
    </row>
    <row r="4117">
      <c r="A4117" s="2" t="s">
        <v>4331</v>
      </c>
      <c r="B4117" s="2" t="s">
        <v>4331</v>
      </c>
      <c r="C4117" s="2" t="s">
        <v>4416</v>
      </c>
      <c r="D4117" s="3" t="str">
        <f t="shared" si="497"/>
        <v>12Go Link</v>
      </c>
      <c r="E4117" s="2" t="s">
        <v>192</v>
      </c>
    </row>
    <row r="4118">
      <c r="A4118" s="2" t="s">
        <v>4331</v>
      </c>
      <c r="B4118" s="2" t="s">
        <v>4331</v>
      </c>
      <c r="C4118" s="2" t="s">
        <v>4416</v>
      </c>
      <c r="D4118" s="3" t="str">
        <f t="shared" si="497"/>
        <v>12Go Link</v>
      </c>
      <c r="E4118" s="2" t="s">
        <v>193</v>
      </c>
    </row>
    <row r="4119">
      <c r="A4119" s="2" t="s">
        <v>4331</v>
      </c>
      <c r="B4119" s="2" t="s">
        <v>4331</v>
      </c>
      <c r="C4119" s="2" t="s">
        <v>4417</v>
      </c>
      <c r="D4119" s="3" t="str">
        <f t="shared" ref="D4119:D4121" si="498">HYPERLINK("https://12go.asia/en/travel/Diep-River-Transfer/Cape-Town-International-Airport", "12Go Link")</f>
        <v>12Go Link</v>
      </c>
      <c r="E4119" s="2" t="s">
        <v>191</v>
      </c>
    </row>
    <row r="4120">
      <c r="A4120" s="2" t="s">
        <v>4331</v>
      </c>
      <c r="B4120" s="2" t="s">
        <v>4331</v>
      </c>
      <c r="C4120" s="2" t="s">
        <v>4417</v>
      </c>
      <c r="D4120" s="3" t="str">
        <f t="shared" si="498"/>
        <v>12Go Link</v>
      </c>
      <c r="E4120" s="2" t="s">
        <v>192</v>
      </c>
    </row>
    <row r="4121">
      <c r="A4121" s="2" t="s">
        <v>4331</v>
      </c>
      <c r="B4121" s="2" t="s">
        <v>4331</v>
      </c>
      <c r="C4121" s="2" t="s">
        <v>4417</v>
      </c>
      <c r="D4121" s="3" t="str">
        <f t="shared" si="498"/>
        <v>12Go Link</v>
      </c>
      <c r="E4121" s="2" t="s">
        <v>193</v>
      </c>
    </row>
    <row r="4122">
      <c r="A4122" s="2" t="s">
        <v>4331</v>
      </c>
      <c r="B4122" s="2" t="s">
        <v>4331</v>
      </c>
      <c r="C4122" s="2" t="s">
        <v>4418</v>
      </c>
      <c r="D4122" s="3" t="str">
        <f t="shared" ref="D4122:D4124" si="499">HYPERLINK("https://12go.asia/en/travel/Durbanville-Transfer/Cape-Town-International-Airport", "12Go Link")</f>
        <v>12Go Link</v>
      </c>
      <c r="E4122" s="2" t="s">
        <v>191</v>
      </c>
    </row>
    <row r="4123">
      <c r="A4123" s="2" t="s">
        <v>4331</v>
      </c>
      <c r="B4123" s="2" t="s">
        <v>4331</v>
      </c>
      <c r="C4123" s="2" t="s">
        <v>4418</v>
      </c>
      <c r="D4123" s="3" t="str">
        <f t="shared" si="499"/>
        <v>12Go Link</v>
      </c>
      <c r="E4123" s="2" t="s">
        <v>192</v>
      </c>
    </row>
    <row r="4124">
      <c r="A4124" s="2" t="s">
        <v>4331</v>
      </c>
      <c r="B4124" s="2" t="s">
        <v>4331</v>
      </c>
      <c r="C4124" s="2" t="s">
        <v>4418</v>
      </c>
      <c r="D4124" s="3" t="str">
        <f t="shared" si="499"/>
        <v>12Go Link</v>
      </c>
      <c r="E4124" s="2" t="s">
        <v>193</v>
      </c>
    </row>
    <row r="4125">
      <c r="A4125" s="2" t="s">
        <v>4331</v>
      </c>
      <c r="B4125" s="2" t="s">
        <v>4331</v>
      </c>
      <c r="C4125" s="2" t="s">
        <v>4419</v>
      </c>
      <c r="D4125" s="3" t="str">
        <f t="shared" ref="D4125:D4127" si="500">HYPERLINK("https://12go.asia/en/travel/Edgemead-Transfer/Cape-Town-International-Airport", "12Go Link")</f>
        <v>12Go Link</v>
      </c>
      <c r="E4125" s="2" t="s">
        <v>191</v>
      </c>
    </row>
    <row r="4126">
      <c r="A4126" s="2" t="s">
        <v>4331</v>
      </c>
      <c r="B4126" s="2" t="s">
        <v>4331</v>
      </c>
      <c r="C4126" s="2" t="s">
        <v>4419</v>
      </c>
      <c r="D4126" s="3" t="str">
        <f t="shared" si="500"/>
        <v>12Go Link</v>
      </c>
      <c r="E4126" s="2" t="s">
        <v>192</v>
      </c>
    </row>
    <row r="4127">
      <c r="A4127" s="2" t="s">
        <v>4331</v>
      </c>
      <c r="B4127" s="2" t="s">
        <v>4331</v>
      </c>
      <c r="C4127" s="2" t="s">
        <v>4419</v>
      </c>
      <c r="D4127" s="3" t="str">
        <f t="shared" si="500"/>
        <v>12Go Link</v>
      </c>
      <c r="E4127" s="2" t="s">
        <v>193</v>
      </c>
    </row>
    <row r="4128">
      <c r="A4128" s="2" t="s">
        <v>4331</v>
      </c>
      <c r="B4128" s="2" t="s">
        <v>4331</v>
      </c>
      <c r="C4128" s="2" t="s">
        <v>4420</v>
      </c>
      <c r="D4128" s="3" t="str">
        <f t="shared" ref="D4128:D4130" si="501">HYPERLINK("https://12go.asia/en/travel/Epping-Transfer/Cape-Town-International-Airport", "12Go Link")</f>
        <v>12Go Link</v>
      </c>
      <c r="E4128" s="2" t="s">
        <v>191</v>
      </c>
    </row>
    <row r="4129">
      <c r="A4129" s="2" t="s">
        <v>4331</v>
      </c>
      <c r="B4129" s="2" t="s">
        <v>4331</v>
      </c>
      <c r="C4129" s="2" t="s">
        <v>4420</v>
      </c>
      <c r="D4129" s="3" t="str">
        <f t="shared" si="501"/>
        <v>12Go Link</v>
      </c>
      <c r="E4129" s="2" t="s">
        <v>192</v>
      </c>
    </row>
    <row r="4130">
      <c r="A4130" s="2" t="s">
        <v>4331</v>
      </c>
      <c r="B4130" s="2" t="s">
        <v>4331</v>
      </c>
      <c r="C4130" s="2" t="s">
        <v>4420</v>
      </c>
      <c r="D4130" s="3" t="str">
        <f t="shared" si="501"/>
        <v>12Go Link</v>
      </c>
      <c r="E4130" s="2" t="s">
        <v>193</v>
      </c>
    </row>
    <row r="4131">
      <c r="A4131" s="2" t="s">
        <v>4331</v>
      </c>
      <c r="B4131" s="2" t="s">
        <v>4331</v>
      </c>
      <c r="C4131" s="2" t="s">
        <v>4421</v>
      </c>
      <c r="D4131" s="3" t="str">
        <f t="shared" ref="D4131:D4133" si="502">HYPERLINK("https://12go.asia/en/travel/Fairways-Transfer/Cape-Town-International-Airport", "12Go Link")</f>
        <v>12Go Link</v>
      </c>
      <c r="E4131" s="2" t="s">
        <v>191</v>
      </c>
    </row>
    <row r="4132">
      <c r="A4132" s="2" t="s">
        <v>4331</v>
      </c>
      <c r="B4132" s="2" t="s">
        <v>4331</v>
      </c>
      <c r="C4132" s="2" t="s">
        <v>4421</v>
      </c>
      <c r="D4132" s="3" t="str">
        <f t="shared" si="502"/>
        <v>12Go Link</v>
      </c>
      <c r="E4132" s="2" t="s">
        <v>192</v>
      </c>
    </row>
    <row r="4133">
      <c r="A4133" s="2" t="s">
        <v>4331</v>
      </c>
      <c r="B4133" s="2" t="s">
        <v>4331</v>
      </c>
      <c r="C4133" s="2" t="s">
        <v>4421</v>
      </c>
      <c r="D4133" s="3" t="str">
        <f t="shared" si="502"/>
        <v>12Go Link</v>
      </c>
      <c r="E4133" s="2" t="s">
        <v>193</v>
      </c>
    </row>
    <row r="4134">
      <c r="A4134" s="2" t="s">
        <v>4331</v>
      </c>
      <c r="B4134" s="2" t="s">
        <v>4331</v>
      </c>
      <c r="C4134" s="2" t="s">
        <v>4422</v>
      </c>
      <c r="D4134" s="3" t="str">
        <f t="shared" ref="D4134:D4136" si="503">HYPERLINK("https://12go.asia/en/travel/Fresnaye-Transfer/Cape-Town-International-Airport", "12Go Link")</f>
        <v>12Go Link</v>
      </c>
      <c r="E4134" s="2" t="s">
        <v>191</v>
      </c>
    </row>
    <row r="4135">
      <c r="A4135" s="2" t="s">
        <v>4331</v>
      </c>
      <c r="B4135" s="2" t="s">
        <v>4331</v>
      </c>
      <c r="C4135" s="2" t="s">
        <v>4422</v>
      </c>
      <c r="D4135" s="3" t="str">
        <f t="shared" si="503"/>
        <v>12Go Link</v>
      </c>
      <c r="E4135" s="2" t="s">
        <v>192</v>
      </c>
    </row>
    <row r="4136">
      <c r="A4136" s="2" t="s">
        <v>4331</v>
      </c>
      <c r="B4136" s="2" t="s">
        <v>4331</v>
      </c>
      <c r="C4136" s="2" t="s">
        <v>4422</v>
      </c>
      <c r="D4136" s="3" t="str">
        <f t="shared" si="503"/>
        <v>12Go Link</v>
      </c>
      <c r="E4136" s="2" t="s">
        <v>193</v>
      </c>
    </row>
    <row r="4137">
      <c r="A4137" s="2" t="s">
        <v>4331</v>
      </c>
      <c r="B4137" s="2" t="s">
        <v>4331</v>
      </c>
      <c r="C4137" s="2" t="s">
        <v>4423</v>
      </c>
      <c r="D4137" s="3" t="str">
        <f t="shared" ref="D4137:D4139" si="504">HYPERLINK("https://12go.asia/en/travel/Gardens-Transfer/Cape-Town-International-Airport", "12Go Link")</f>
        <v>12Go Link</v>
      </c>
      <c r="E4137" s="2" t="s">
        <v>191</v>
      </c>
    </row>
    <row r="4138">
      <c r="A4138" s="2" t="s">
        <v>4331</v>
      </c>
      <c r="B4138" s="2" t="s">
        <v>4331</v>
      </c>
      <c r="C4138" s="2" t="s">
        <v>4423</v>
      </c>
      <c r="D4138" s="3" t="str">
        <f t="shared" si="504"/>
        <v>12Go Link</v>
      </c>
      <c r="E4138" s="2" t="s">
        <v>192</v>
      </c>
    </row>
    <row r="4139">
      <c r="A4139" s="2" t="s">
        <v>4331</v>
      </c>
      <c r="B4139" s="2" t="s">
        <v>4331</v>
      </c>
      <c r="C4139" s="2" t="s">
        <v>4423</v>
      </c>
      <c r="D4139" s="3" t="str">
        <f t="shared" si="504"/>
        <v>12Go Link</v>
      </c>
      <c r="E4139" s="2" t="s">
        <v>193</v>
      </c>
    </row>
    <row r="4140">
      <c r="A4140" s="2" t="s">
        <v>4331</v>
      </c>
      <c r="B4140" s="2" t="s">
        <v>4331</v>
      </c>
      <c r="C4140" s="2" t="s">
        <v>4424</v>
      </c>
      <c r="D4140" s="3" t="str">
        <f t="shared" ref="D4140:D4142" si="505">HYPERLINK("https://12go.asia/en/travel/Gordons-Bay-Transfer/Cape-Town-International-Airport", "12Go Link")</f>
        <v>12Go Link</v>
      </c>
      <c r="E4140" s="2" t="s">
        <v>191</v>
      </c>
    </row>
    <row r="4141">
      <c r="A4141" s="2" t="s">
        <v>4331</v>
      </c>
      <c r="B4141" s="2" t="s">
        <v>4331</v>
      </c>
      <c r="C4141" s="2" t="s">
        <v>4424</v>
      </c>
      <c r="D4141" s="3" t="str">
        <f t="shared" si="505"/>
        <v>12Go Link</v>
      </c>
      <c r="E4141" s="2" t="s">
        <v>192</v>
      </c>
    </row>
    <row r="4142">
      <c r="A4142" s="2" t="s">
        <v>4331</v>
      </c>
      <c r="B4142" s="2" t="s">
        <v>4331</v>
      </c>
      <c r="C4142" s="2" t="s">
        <v>4424</v>
      </c>
      <c r="D4142" s="3" t="str">
        <f t="shared" si="505"/>
        <v>12Go Link</v>
      </c>
      <c r="E4142" s="2" t="s">
        <v>193</v>
      </c>
    </row>
    <row r="4143">
      <c r="A4143" s="2" t="s">
        <v>4331</v>
      </c>
      <c r="B4143" s="2" t="s">
        <v>4331</v>
      </c>
      <c r="C4143" s="2" t="s">
        <v>4425</v>
      </c>
      <c r="D4143" s="3" t="str">
        <f t="shared" ref="D4143:D4145" si="506">HYPERLINK("https://12go.asia/en/travel/Grassy-Park-Transfer/Cape-Town-International-Airport", "12Go Link")</f>
        <v>12Go Link</v>
      </c>
      <c r="E4143" s="2" t="s">
        <v>191</v>
      </c>
    </row>
    <row r="4144">
      <c r="A4144" s="2" t="s">
        <v>4331</v>
      </c>
      <c r="B4144" s="2" t="s">
        <v>4331</v>
      </c>
      <c r="C4144" s="2" t="s">
        <v>4425</v>
      </c>
      <c r="D4144" s="3" t="str">
        <f t="shared" si="506"/>
        <v>12Go Link</v>
      </c>
      <c r="E4144" s="2" t="s">
        <v>192</v>
      </c>
    </row>
    <row r="4145">
      <c r="A4145" s="2" t="s">
        <v>4331</v>
      </c>
      <c r="B4145" s="2" t="s">
        <v>4331</v>
      </c>
      <c r="C4145" s="2" t="s">
        <v>4425</v>
      </c>
      <c r="D4145" s="3" t="str">
        <f t="shared" si="506"/>
        <v>12Go Link</v>
      </c>
      <c r="E4145" s="2" t="s">
        <v>193</v>
      </c>
    </row>
    <row r="4146">
      <c r="A4146" s="2" t="s">
        <v>4331</v>
      </c>
      <c r="B4146" s="2" t="s">
        <v>4331</v>
      </c>
      <c r="C4146" s="2" t="s">
        <v>4426</v>
      </c>
      <c r="D4146" s="3" t="str">
        <f t="shared" ref="D4146:D4148" si="507">HYPERLINK("https://12go.asia/en/travel/Greenpoint-Transfer/Cape-Town-International-Airport", "12Go Link")</f>
        <v>12Go Link</v>
      </c>
      <c r="E4146" s="2" t="s">
        <v>191</v>
      </c>
    </row>
    <row r="4147">
      <c r="A4147" s="2" t="s">
        <v>4331</v>
      </c>
      <c r="B4147" s="2" t="s">
        <v>4331</v>
      </c>
      <c r="C4147" s="2" t="s">
        <v>4426</v>
      </c>
      <c r="D4147" s="3" t="str">
        <f t="shared" si="507"/>
        <v>12Go Link</v>
      </c>
      <c r="E4147" s="2" t="s">
        <v>192</v>
      </c>
    </row>
    <row r="4148">
      <c r="A4148" s="2" t="s">
        <v>4331</v>
      </c>
      <c r="B4148" s="2" t="s">
        <v>4331</v>
      </c>
      <c r="C4148" s="2" t="s">
        <v>4426</v>
      </c>
      <c r="D4148" s="3" t="str">
        <f t="shared" si="507"/>
        <v>12Go Link</v>
      </c>
      <c r="E4148" s="2" t="s">
        <v>193</v>
      </c>
    </row>
    <row r="4149">
      <c r="A4149" s="2" t="s">
        <v>4331</v>
      </c>
      <c r="B4149" s="2" t="s">
        <v>4331</v>
      </c>
      <c r="C4149" s="2" t="s">
        <v>4427</v>
      </c>
      <c r="D4149" s="3" t="str">
        <f t="shared" ref="D4149:D4151" si="508">HYPERLINK("https://12go.asia/en/travel/Hout-Bay-Transfer/Cape-Town-International-Airport", "12Go Link")</f>
        <v>12Go Link</v>
      </c>
      <c r="E4149" s="2" t="s">
        <v>191</v>
      </c>
    </row>
    <row r="4150">
      <c r="A4150" s="2" t="s">
        <v>4331</v>
      </c>
      <c r="B4150" s="2" t="s">
        <v>4331</v>
      </c>
      <c r="C4150" s="2" t="s">
        <v>4427</v>
      </c>
      <c r="D4150" s="3" t="str">
        <f t="shared" si="508"/>
        <v>12Go Link</v>
      </c>
      <c r="E4150" s="2" t="s">
        <v>192</v>
      </c>
    </row>
    <row r="4151">
      <c r="A4151" s="2" t="s">
        <v>4331</v>
      </c>
      <c r="B4151" s="2" t="s">
        <v>4331</v>
      </c>
      <c r="C4151" s="2" t="s">
        <v>4427</v>
      </c>
      <c r="D4151" s="3" t="str">
        <f t="shared" si="508"/>
        <v>12Go Link</v>
      </c>
      <c r="E4151" s="2" t="s">
        <v>193</v>
      </c>
    </row>
    <row r="4152">
      <c r="A4152" s="2" t="s">
        <v>4331</v>
      </c>
      <c r="B4152" s="2" t="s">
        <v>4331</v>
      </c>
      <c r="C4152" s="2" t="s">
        <v>4428</v>
      </c>
      <c r="D4152" s="3" t="str">
        <f t="shared" ref="D4152:D4154" si="509">HYPERLINK("https://12go.asia/en/travel/Kommetjie-Transfer/Cape-Town-International-Airport", "12Go Link")</f>
        <v>12Go Link</v>
      </c>
      <c r="E4152" s="2" t="s">
        <v>191</v>
      </c>
    </row>
    <row r="4153">
      <c r="A4153" s="2" t="s">
        <v>4331</v>
      </c>
      <c r="B4153" s="2" t="s">
        <v>4331</v>
      </c>
      <c r="C4153" s="2" t="s">
        <v>4428</v>
      </c>
      <c r="D4153" s="3" t="str">
        <f t="shared" si="509"/>
        <v>12Go Link</v>
      </c>
      <c r="E4153" s="2" t="s">
        <v>192</v>
      </c>
    </row>
    <row r="4154">
      <c r="A4154" s="2" t="s">
        <v>4331</v>
      </c>
      <c r="B4154" s="2" t="s">
        <v>4331</v>
      </c>
      <c r="C4154" s="2" t="s">
        <v>4428</v>
      </c>
      <c r="D4154" s="3" t="str">
        <f t="shared" si="509"/>
        <v>12Go Link</v>
      </c>
      <c r="E4154" s="2" t="s">
        <v>193</v>
      </c>
    </row>
    <row r="4155">
      <c r="A4155" s="2" t="s">
        <v>4331</v>
      </c>
      <c r="B4155" s="2" t="s">
        <v>4331</v>
      </c>
      <c r="C4155" s="2" t="s">
        <v>4429</v>
      </c>
      <c r="D4155" s="3" t="str">
        <f t="shared" ref="D4155:D4157" si="510">HYPERLINK("https://12go.asia/en/travel/Llandudno-Transfer/Cape-Town-International-Airport", "12Go Link")</f>
        <v>12Go Link</v>
      </c>
      <c r="E4155" s="2" t="s">
        <v>191</v>
      </c>
    </row>
    <row r="4156">
      <c r="A4156" s="2" t="s">
        <v>4331</v>
      </c>
      <c r="B4156" s="2" t="s">
        <v>4331</v>
      </c>
      <c r="C4156" s="2" t="s">
        <v>4429</v>
      </c>
      <c r="D4156" s="3" t="str">
        <f t="shared" si="510"/>
        <v>12Go Link</v>
      </c>
      <c r="E4156" s="2" t="s">
        <v>192</v>
      </c>
    </row>
    <row r="4157">
      <c r="A4157" s="2" t="s">
        <v>4331</v>
      </c>
      <c r="B4157" s="2" t="s">
        <v>4331</v>
      </c>
      <c r="C4157" s="2" t="s">
        <v>4429</v>
      </c>
      <c r="D4157" s="3" t="str">
        <f t="shared" si="510"/>
        <v>12Go Link</v>
      </c>
      <c r="E4157" s="2" t="s">
        <v>193</v>
      </c>
    </row>
    <row r="4158">
      <c r="A4158" s="2" t="s">
        <v>4331</v>
      </c>
      <c r="B4158" s="2" t="s">
        <v>4331</v>
      </c>
      <c r="C4158" s="2" t="s">
        <v>4430</v>
      </c>
      <c r="D4158" s="3" t="str">
        <f t="shared" ref="D4158:D4160" si="511">HYPERLINK("https://12go.asia/en/travel/Matroosfontein-Transfer/Cape-Town-International-Airport", "12Go Link")</f>
        <v>12Go Link</v>
      </c>
      <c r="E4158" s="2" t="s">
        <v>191</v>
      </c>
    </row>
    <row r="4159">
      <c r="A4159" s="2" t="s">
        <v>4331</v>
      </c>
      <c r="B4159" s="2" t="s">
        <v>4331</v>
      </c>
      <c r="C4159" s="2" t="s">
        <v>4430</v>
      </c>
      <c r="D4159" s="3" t="str">
        <f t="shared" si="511"/>
        <v>12Go Link</v>
      </c>
      <c r="E4159" s="2" t="s">
        <v>192</v>
      </c>
    </row>
    <row r="4160">
      <c r="A4160" s="2" t="s">
        <v>4331</v>
      </c>
      <c r="B4160" s="2" t="s">
        <v>4331</v>
      </c>
      <c r="C4160" s="2" t="s">
        <v>4430</v>
      </c>
      <c r="D4160" s="3" t="str">
        <f t="shared" si="511"/>
        <v>12Go Link</v>
      </c>
      <c r="E4160" s="2" t="s">
        <v>193</v>
      </c>
    </row>
    <row r="4161">
      <c r="A4161" s="2" t="s">
        <v>4331</v>
      </c>
      <c r="B4161" s="2" t="s">
        <v>4331</v>
      </c>
      <c r="C4161" s="2" t="s">
        <v>4431</v>
      </c>
      <c r="D4161" s="3" t="str">
        <f t="shared" ref="D4161:D4163" si="512">HYPERLINK("https://12go.asia/en/travel/Mowbray-Transfer/Cape-Town-International-Airport", "12Go Link")</f>
        <v>12Go Link</v>
      </c>
      <c r="E4161" s="2" t="s">
        <v>191</v>
      </c>
    </row>
    <row r="4162">
      <c r="A4162" s="2" t="s">
        <v>4331</v>
      </c>
      <c r="B4162" s="2" t="s">
        <v>4331</v>
      </c>
      <c r="C4162" s="2" t="s">
        <v>4431</v>
      </c>
      <c r="D4162" s="3" t="str">
        <f t="shared" si="512"/>
        <v>12Go Link</v>
      </c>
      <c r="E4162" s="2" t="s">
        <v>192</v>
      </c>
    </row>
    <row r="4163">
      <c r="A4163" s="2" t="s">
        <v>4331</v>
      </c>
      <c r="B4163" s="2" t="s">
        <v>4331</v>
      </c>
      <c r="C4163" s="2" t="s">
        <v>4431</v>
      </c>
      <c r="D4163" s="3" t="str">
        <f t="shared" si="512"/>
        <v>12Go Link</v>
      </c>
      <c r="E4163" s="2" t="s">
        <v>193</v>
      </c>
    </row>
    <row r="4164">
      <c r="A4164" s="2" t="s">
        <v>4331</v>
      </c>
      <c r="B4164" s="2" t="s">
        <v>4331</v>
      </c>
      <c r="C4164" s="2" t="s">
        <v>4432</v>
      </c>
      <c r="D4164" s="3" t="str">
        <f t="shared" ref="D4164:D4166" si="513">HYPERLINK("https://12go.asia/en/travel/Muizenberg-Transfer/Cape-Town-International-Airport", "12Go Link")</f>
        <v>12Go Link</v>
      </c>
      <c r="E4164" s="2" t="s">
        <v>191</v>
      </c>
    </row>
    <row r="4165">
      <c r="A4165" s="2" t="s">
        <v>4331</v>
      </c>
      <c r="B4165" s="2" t="s">
        <v>4331</v>
      </c>
      <c r="C4165" s="2" t="s">
        <v>4432</v>
      </c>
      <c r="D4165" s="3" t="str">
        <f t="shared" si="513"/>
        <v>12Go Link</v>
      </c>
      <c r="E4165" s="2" t="s">
        <v>192</v>
      </c>
    </row>
    <row r="4166">
      <c r="A4166" s="2" t="s">
        <v>4331</v>
      </c>
      <c r="B4166" s="2" t="s">
        <v>4331</v>
      </c>
      <c r="C4166" s="2" t="s">
        <v>4432</v>
      </c>
      <c r="D4166" s="3" t="str">
        <f t="shared" si="513"/>
        <v>12Go Link</v>
      </c>
      <c r="E4166" s="2" t="s">
        <v>193</v>
      </c>
    </row>
    <row r="4167">
      <c r="A4167" s="2" t="s">
        <v>4331</v>
      </c>
      <c r="B4167" s="2" t="s">
        <v>4331</v>
      </c>
      <c r="C4167" s="2" t="s">
        <v>4433</v>
      </c>
      <c r="D4167" s="3" t="str">
        <f t="shared" ref="D4167:D4169" si="514">HYPERLINK("https://12go.asia/en/travel/Newlands-Transfer/Cape-Town-International-Airport", "12Go Link")</f>
        <v>12Go Link</v>
      </c>
      <c r="E4167" s="2" t="s">
        <v>191</v>
      </c>
    </row>
    <row r="4168">
      <c r="A4168" s="2" t="s">
        <v>4331</v>
      </c>
      <c r="B4168" s="2" t="s">
        <v>4331</v>
      </c>
      <c r="C4168" s="2" t="s">
        <v>4433</v>
      </c>
      <c r="D4168" s="3" t="str">
        <f t="shared" si="514"/>
        <v>12Go Link</v>
      </c>
      <c r="E4168" s="2" t="s">
        <v>192</v>
      </c>
    </row>
    <row r="4169">
      <c r="A4169" s="2" t="s">
        <v>4331</v>
      </c>
      <c r="B4169" s="2" t="s">
        <v>4331</v>
      </c>
      <c r="C4169" s="2" t="s">
        <v>4433</v>
      </c>
      <c r="D4169" s="3" t="str">
        <f t="shared" si="514"/>
        <v>12Go Link</v>
      </c>
      <c r="E4169" s="2" t="s">
        <v>193</v>
      </c>
    </row>
    <row r="4170">
      <c r="A4170" s="2" t="s">
        <v>4331</v>
      </c>
      <c r="B4170" s="2" t="s">
        <v>4331</v>
      </c>
      <c r="C4170" s="2" t="s">
        <v>4434</v>
      </c>
      <c r="D4170" s="3" t="str">
        <f t="shared" ref="D4170:D4172" si="515">HYPERLINK("https://12go.asia/en/travel/Parklands-Transfer/Cape-Town-International-Airport", "12Go Link")</f>
        <v>12Go Link</v>
      </c>
      <c r="E4170" s="2" t="s">
        <v>191</v>
      </c>
    </row>
    <row r="4171">
      <c r="A4171" s="2" t="s">
        <v>4331</v>
      </c>
      <c r="B4171" s="2" t="s">
        <v>4331</v>
      </c>
      <c r="C4171" s="2" t="s">
        <v>4434</v>
      </c>
      <c r="D4171" s="3" t="str">
        <f t="shared" si="515"/>
        <v>12Go Link</v>
      </c>
      <c r="E4171" s="2" t="s">
        <v>192</v>
      </c>
    </row>
    <row r="4172">
      <c r="A4172" s="2" t="s">
        <v>4331</v>
      </c>
      <c r="B4172" s="2" t="s">
        <v>4331</v>
      </c>
      <c r="C4172" s="2" t="s">
        <v>4434</v>
      </c>
      <c r="D4172" s="3" t="str">
        <f t="shared" si="515"/>
        <v>12Go Link</v>
      </c>
      <c r="E4172" s="2" t="s">
        <v>193</v>
      </c>
    </row>
    <row r="4173">
      <c r="A4173" s="2" t="s">
        <v>4331</v>
      </c>
      <c r="B4173" s="2" t="s">
        <v>4331</v>
      </c>
      <c r="C4173" s="2" t="s">
        <v>4435</v>
      </c>
      <c r="D4173" s="3" t="str">
        <f t="shared" ref="D4173:D4175" si="516">HYPERLINK("https://12go.asia/en/travel/Pinelands-Transfer/Cape-Town-International-Airport", "12Go Link")</f>
        <v>12Go Link</v>
      </c>
      <c r="E4173" s="2" t="s">
        <v>191</v>
      </c>
    </row>
    <row r="4174">
      <c r="A4174" s="2" t="s">
        <v>4331</v>
      </c>
      <c r="B4174" s="2" t="s">
        <v>4331</v>
      </c>
      <c r="C4174" s="2" t="s">
        <v>4435</v>
      </c>
      <c r="D4174" s="3" t="str">
        <f t="shared" si="516"/>
        <v>12Go Link</v>
      </c>
      <c r="E4174" s="2" t="s">
        <v>192</v>
      </c>
    </row>
    <row r="4175">
      <c r="A4175" s="2" t="s">
        <v>4331</v>
      </c>
      <c r="B4175" s="2" t="s">
        <v>4331</v>
      </c>
      <c r="C4175" s="2" t="s">
        <v>4435</v>
      </c>
      <c r="D4175" s="3" t="str">
        <f t="shared" si="516"/>
        <v>12Go Link</v>
      </c>
      <c r="E4175" s="2" t="s">
        <v>193</v>
      </c>
    </row>
    <row r="4176">
      <c r="A4176" s="2" t="s">
        <v>4331</v>
      </c>
      <c r="B4176" s="2" t="s">
        <v>4331</v>
      </c>
      <c r="C4176" s="2" t="s">
        <v>4436</v>
      </c>
      <c r="D4176" s="3" t="str">
        <f t="shared" ref="D4176:D4178" si="517">HYPERLINK("https://12go.asia/en/travel/Plattekloof-Transfer/Cape-Town-International-Airport", "12Go Link")</f>
        <v>12Go Link</v>
      </c>
      <c r="E4176" s="2" t="s">
        <v>191</v>
      </c>
    </row>
    <row r="4177">
      <c r="A4177" s="2" t="s">
        <v>4331</v>
      </c>
      <c r="B4177" s="2" t="s">
        <v>4331</v>
      </c>
      <c r="C4177" s="2" t="s">
        <v>4436</v>
      </c>
      <c r="D4177" s="3" t="str">
        <f t="shared" si="517"/>
        <v>12Go Link</v>
      </c>
      <c r="E4177" s="2" t="s">
        <v>192</v>
      </c>
    </row>
    <row r="4178">
      <c r="A4178" s="2" t="s">
        <v>4331</v>
      </c>
      <c r="B4178" s="2" t="s">
        <v>4331</v>
      </c>
      <c r="C4178" s="2" t="s">
        <v>4436</v>
      </c>
      <c r="D4178" s="3" t="str">
        <f t="shared" si="517"/>
        <v>12Go Link</v>
      </c>
      <c r="E4178" s="2" t="s">
        <v>193</v>
      </c>
    </row>
    <row r="4179">
      <c r="A4179" s="2" t="s">
        <v>4331</v>
      </c>
      <c r="B4179" s="2" t="s">
        <v>4331</v>
      </c>
      <c r="C4179" s="2" t="s">
        <v>4437</v>
      </c>
      <c r="D4179" s="3" t="str">
        <f t="shared" ref="D4179:D4181" si="518">HYPERLINK("https://12go.asia/en/travel/Plumstead-Transfer/Cape-Town-International-Airport", "12Go Link")</f>
        <v>12Go Link</v>
      </c>
      <c r="E4179" s="2" t="s">
        <v>191</v>
      </c>
    </row>
    <row r="4180">
      <c r="A4180" s="2" t="s">
        <v>4331</v>
      </c>
      <c r="B4180" s="2" t="s">
        <v>4331</v>
      </c>
      <c r="C4180" s="2" t="s">
        <v>4437</v>
      </c>
      <c r="D4180" s="3" t="str">
        <f t="shared" si="518"/>
        <v>12Go Link</v>
      </c>
      <c r="E4180" s="2" t="s">
        <v>192</v>
      </c>
    </row>
    <row r="4181">
      <c r="A4181" s="2" t="s">
        <v>4331</v>
      </c>
      <c r="B4181" s="2" t="s">
        <v>4331</v>
      </c>
      <c r="C4181" s="2" t="s">
        <v>4437</v>
      </c>
      <c r="D4181" s="3" t="str">
        <f t="shared" si="518"/>
        <v>12Go Link</v>
      </c>
      <c r="E4181" s="2" t="s">
        <v>193</v>
      </c>
    </row>
    <row r="4182">
      <c r="A4182" s="2" t="s">
        <v>4331</v>
      </c>
      <c r="B4182" s="2" t="s">
        <v>4331</v>
      </c>
      <c r="C4182" s="2" t="s">
        <v>4438</v>
      </c>
      <c r="D4182" s="3" t="str">
        <f t="shared" ref="D4182:D4184" si="519">HYPERLINK("https://12go.asia/en/travel/Rondebosch-Transfer/Cape-Town-International-Airport", "12Go Link")</f>
        <v>12Go Link</v>
      </c>
      <c r="E4182" s="2" t="s">
        <v>191</v>
      </c>
    </row>
    <row r="4183">
      <c r="A4183" s="2" t="s">
        <v>4331</v>
      </c>
      <c r="B4183" s="2" t="s">
        <v>4331</v>
      </c>
      <c r="C4183" s="2" t="s">
        <v>4438</v>
      </c>
      <c r="D4183" s="3" t="str">
        <f t="shared" si="519"/>
        <v>12Go Link</v>
      </c>
      <c r="E4183" s="2" t="s">
        <v>192</v>
      </c>
    </row>
    <row r="4184">
      <c r="A4184" s="2" t="s">
        <v>4331</v>
      </c>
      <c r="B4184" s="2" t="s">
        <v>4331</v>
      </c>
      <c r="C4184" s="2" t="s">
        <v>4438</v>
      </c>
      <c r="D4184" s="3" t="str">
        <f t="shared" si="519"/>
        <v>12Go Link</v>
      </c>
      <c r="E4184" s="2" t="s">
        <v>193</v>
      </c>
    </row>
    <row r="4185">
      <c r="A4185" s="2" t="s">
        <v>4331</v>
      </c>
      <c r="B4185" s="2" t="s">
        <v>4331</v>
      </c>
      <c r="C4185" s="2" t="s">
        <v>4439</v>
      </c>
      <c r="D4185" s="3" t="str">
        <f t="shared" ref="D4185:D4187" si="520">HYPERLINK("https://12go.asia/en/travel/Scarborough-Transfer/Cape-Town-International-Airport", "12Go Link")</f>
        <v>12Go Link</v>
      </c>
      <c r="E4185" s="2" t="s">
        <v>191</v>
      </c>
    </row>
    <row r="4186">
      <c r="A4186" s="2" t="s">
        <v>4331</v>
      </c>
      <c r="B4186" s="2" t="s">
        <v>4331</v>
      </c>
      <c r="C4186" s="2" t="s">
        <v>4439</v>
      </c>
      <c r="D4186" s="3" t="str">
        <f t="shared" si="520"/>
        <v>12Go Link</v>
      </c>
      <c r="E4186" s="2" t="s">
        <v>192</v>
      </c>
    </row>
    <row r="4187">
      <c r="A4187" s="2" t="s">
        <v>4331</v>
      </c>
      <c r="B4187" s="2" t="s">
        <v>4331</v>
      </c>
      <c r="C4187" s="2" t="s">
        <v>4439</v>
      </c>
      <c r="D4187" s="3" t="str">
        <f t="shared" si="520"/>
        <v>12Go Link</v>
      </c>
      <c r="E4187" s="2" t="s">
        <v>193</v>
      </c>
    </row>
    <row r="4188">
      <c r="A4188" s="2" t="s">
        <v>4331</v>
      </c>
      <c r="B4188" s="2" t="s">
        <v>4331</v>
      </c>
      <c r="C4188" s="2" t="s">
        <v>4440</v>
      </c>
      <c r="D4188" s="3" t="str">
        <f t="shared" ref="D4188:D4190" si="521">HYPERLINK("https://12go.asia/en/travel/Sea-Point-Transfer/Cape-Town-International-Airport", "12Go Link")</f>
        <v>12Go Link</v>
      </c>
      <c r="E4188" s="2" t="s">
        <v>191</v>
      </c>
    </row>
    <row r="4189">
      <c r="A4189" s="2" t="s">
        <v>4331</v>
      </c>
      <c r="B4189" s="2" t="s">
        <v>4331</v>
      </c>
      <c r="C4189" s="2" t="s">
        <v>4440</v>
      </c>
      <c r="D4189" s="3" t="str">
        <f t="shared" si="521"/>
        <v>12Go Link</v>
      </c>
      <c r="E4189" s="2" t="s">
        <v>192</v>
      </c>
    </row>
    <row r="4190">
      <c r="A4190" s="2" t="s">
        <v>4331</v>
      </c>
      <c r="B4190" s="2" t="s">
        <v>4331</v>
      </c>
      <c r="C4190" s="2" t="s">
        <v>4440</v>
      </c>
      <c r="D4190" s="3" t="str">
        <f t="shared" si="521"/>
        <v>12Go Link</v>
      </c>
      <c r="E4190" s="2" t="s">
        <v>193</v>
      </c>
    </row>
    <row r="4191">
      <c r="A4191" s="2" t="s">
        <v>4331</v>
      </c>
      <c r="B4191" s="2" t="s">
        <v>4331</v>
      </c>
      <c r="C4191" s="2" t="s">
        <v>4441</v>
      </c>
      <c r="D4191" s="3" t="str">
        <f t="shared" ref="D4191:D4193" si="522">HYPERLINK("https://12go.asia/en/travel/Simons-Town-Transfer/Cape-Town-International-Airport", "12Go Link")</f>
        <v>12Go Link</v>
      </c>
      <c r="E4191" s="2" t="s">
        <v>191</v>
      </c>
    </row>
    <row r="4192">
      <c r="A4192" s="2" t="s">
        <v>4331</v>
      </c>
      <c r="B4192" s="2" t="s">
        <v>4331</v>
      </c>
      <c r="C4192" s="2" t="s">
        <v>4441</v>
      </c>
      <c r="D4192" s="3" t="str">
        <f t="shared" si="522"/>
        <v>12Go Link</v>
      </c>
      <c r="E4192" s="2" t="s">
        <v>192</v>
      </c>
    </row>
    <row r="4193">
      <c r="A4193" s="2" t="s">
        <v>4331</v>
      </c>
      <c r="B4193" s="2" t="s">
        <v>4331</v>
      </c>
      <c r="C4193" s="2" t="s">
        <v>4441</v>
      </c>
      <c r="D4193" s="3" t="str">
        <f t="shared" si="522"/>
        <v>12Go Link</v>
      </c>
      <c r="E4193" s="2" t="s">
        <v>193</v>
      </c>
    </row>
    <row r="4194">
      <c r="A4194" s="2" t="s">
        <v>4331</v>
      </c>
      <c r="B4194" s="2" t="s">
        <v>4331</v>
      </c>
      <c r="C4194" s="2" t="s">
        <v>4442</v>
      </c>
      <c r="D4194" s="3" t="str">
        <f t="shared" ref="D4194:D4196" si="523">HYPERLINK("https://12go.asia/en/travel/St-James-Transfer/Cape-Town-International-Airport", "12Go Link")</f>
        <v>12Go Link</v>
      </c>
      <c r="E4194" s="2" t="s">
        <v>191</v>
      </c>
    </row>
    <row r="4195">
      <c r="A4195" s="2" t="s">
        <v>4331</v>
      </c>
      <c r="B4195" s="2" t="s">
        <v>4331</v>
      </c>
      <c r="C4195" s="2" t="s">
        <v>4442</v>
      </c>
      <c r="D4195" s="3" t="str">
        <f t="shared" si="523"/>
        <v>12Go Link</v>
      </c>
      <c r="E4195" s="2" t="s">
        <v>192</v>
      </c>
    </row>
    <row r="4196">
      <c r="A4196" s="2" t="s">
        <v>4331</v>
      </c>
      <c r="B4196" s="2" t="s">
        <v>4331</v>
      </c>
      <c r="C4196" s="2" t="s">
        <v>4442</v>
      </c>
      <c r="D4196" s="3" t="str">
        <f t="shared" si="523"/>
        <v>12Go Link</v>
      </c>
      <c r="E4196" s="2" t="s">
        <v>193</v>
      </c>
    </row>
    <row r="4197">
      <c r="A4197" s="2" t="s">
        <v>4331</v>
      </c>
      <c r="B4197" s="2" t="s">
        <v>4331</v>
      </c>
      <c r="C4197" s="2" t="s">
        <v>4443</v>
      </c>
      <c r="D4197" s="3" t="str">
        <f t="shared" ref="D4197:D4199" si="524">HYPERLINK("https://12go.asia/en/travel/Stellenberg-Transfer/Cape-Town-International-Airport", "12Go Link")</f>
        <v>12Go Link</v>
      </c>
      <c r="E4197" s="2" t="s">
        <v>191</v>
      </c>
    </row>
    <row r="4198">
      <c r="A4198" s="2" t="s">
        <v>4331</v>
      </c>
      <c r="B4198" s="2" t="s">
        <v>4331</v>
      </c>
      <c r="C4198" s="2" t="s">
        <v>4443</v>
      </c>
      <c r="D4198" s="3" t="str">
        <f t="shared" si="524"/>
        <v>12Go Link</v>
      </c>
      <c r="E4198" s="2" t="s">
        <v>192</v>
      </c>
    </row>
    <row r="4199">
      <c r="A4199" s="2" t="s">
        <v>4331</v>
      </c>
      <c r="B4199" s="2" t="s">
        <v>4331</v>
      </c>
      <c r="C4199" s="2" t="s">
        <v>4443</v>
      </c>
      <c r="D4199" s="3" t="str">
        <f t="shared" si="524"/>
        <v>12Go Link</v>
      </c>
      <c r="E4199" s="2" t="s">
        <v>193</v>
      </c>
    </row>
    <row r="4200">
      <c r="A4200" s="2" t="s">
        <v>4331</v>
      </c>
      <c r="B4200" s="2" t="s">
        <v>4331</v>
      </c>
      <c r="C4200" s="2" t="s">
        <v>4444</v>
      </c>
      <c r="D4200" s="3" t="str">
        <f t="shared" ref="D4200:D4202" si="525">HYPERLINK("https://12go.asia/en/travel/Strand-Area-Transfer/Cape-Town-International-Airport", "12Go Link")</f>
        <v>12Go Link</v>
      </c>
      <c r="E4200" s="2" t="s">
        <v>191</v>
      </c>
    </row>
    <row r="4201">
      <c r="A4201" s="2" t="s">
        <v>4331</v>
      </c>
      <c r="B4201" s="2" t="s">
        <v>4331</v>
      </c>
      <c r="C4201" s="2" t="s">
        <v>4444</v>
      </c>
      <c r="D4201" s="3" t="str">
        <f t="shared" si="525"/>
        <v>12Go Link</v>
      </c>
      <c r="E4201" s="2" t="s">
        <v>192</v>
      </c>
    </row>
    <row r="4202">
      <c r="A4202" s="2" t="s">
        <v>4331</v>
      </c>
      <c r="B4202" s="2" t="s">
        <v>4331</v>
      </c>
      <c r="C4202" s="2" t="s">
        <v>4444</v>
      </c>
      <c r="D4202" s="3" t="str">
        <f t="shared" si="525"/>
        <v>12Go Link</v>
      </c>
      <c r="E4202" s="2" t="s">
        <v>193</v>
      </c>
    </row>
    <row r="4203">
      <c r="A4203" s="2" t="s">
        <v>4331</v>
      </c>
      <c r="B4203" s="2" t="s">
        <v>4331</v>
      </c>
      <c r="C4203" s="2" t="s">
        <v>4445</v>
      </c>
      <c r="D4203" s="3" t="str">
        <f t="shared" ref="D4203:D4205" si="526">HYPERLINK("https://12go.asia/en/travel/Sunset-Beach-Transfer/Cape-Town-International-Airport", "12Go Link")</f>
        <v>12Go Link</v>
      </c>
      <c r="E4203" s="2" t="s">
        <v>191</v>
      </c>
    </row>
    <row r="4204">
      <c r="A4204" s="2" t="s">
        <v>4331</v>
      </c>
      <c r="B4204" s="2" t="s">
        <v>4331</v>
      </c>
      <c r="C4204" s="2" t="s">
        <v>4445</v>
      </c>
      <c r="D4204" s="3" t="str">
        <f t="shared" si="526"/>
        <v>12Go Link</v>
      </c>
      <c r="E4204" s="2" t="s">
        <v>192</v>
      </c>
    </row>
    <row r="4205">
      <c r="A4205" s="2" t="s">
        <v>4331</v>
      </c>
      <c r="B4205" s="2" t="s">
        <v>4331</v>
      </c>
      <c r="C4205" s="2" t="s">
        <v>4445</v>
      </c>
      <c r="D4205" s="3" t="str">
        <f t="shared" si="526"/>
        <v>12Go Link</v>
      </c>
      <c r="E4205" s="2" t="s">
        <v>193</v>
      </c>
    </row>
    <row r="4206">
      <c r="A4206" s="2" t="s">
        <v>4331</v>
      </c>
      <c r="B4206" s="2" t="s">
        <v>4331</v>
      </c>
      <c r="C4206" s="2" t="s">
        <v>4446</v>
      </c>
      <c r="D4206" s="3" t="str">
        <f t="shared" ref="D4206:D4208" si="527">HYPERLINK("https://12go.asia/en/travel/Table-Mountain-Transfer/Cape-Town-International-Airport", "12Go Link")</f>
        <v>12Go Link</v>
      </c>
      <c r="E4206" s="2" t="s">
        <v>191</v>
      </c>
    </row>
    <row r="4207">
      <c r="A4207" s="2" t="s">
        <v>4331</v>
      </c>
      <c r="B4207" s="2" t="s">
        <v>4331</v>
      </c>
      <c r="C4207" s="2" t="s">
        <v>4446</v>
      </c>
      <c r="D4207" s="3" t="str">
        <f t="shared" si="527"/>
        <v>12Go Link</v>
      </c>
      <c r="E4207" s="2" t="s">
        <v>192</v>
      </c>
    </row>
    <row r="4208">
      <c r="A4208" s="2" t="s">
        <v>4331</v>
      </c>
      <c r="B4208" s="2" t="s">
        <v>4331</v>
      </c>
      <c r="C4208" s="2" t="s">
        <v>4446</v>
      </c>
      <c r="D4208" s="3" t="str">
        <f t="shared" si="527"/>
        <v>12Go Link</v>
      </c>
      <c r="E4208" s="2" t="s">
        <v>193</v>
      </c>
    </row>
    <row r="4209">
      <c r="A4209" s="2" t="s">
        <v>4331</v>
      </c>
      <c r="B4209" s="2" t="s">
        <v>4331</v>
      </c>
      <c r="C4209" s="2" t="s">
        <v>4447</v>
      </c>
      <c r="D4209" s="3" t="str">
        <f t="shared" ref="D4209:D4211" si="528">HYPERLINK("https://12go.asia/en/travel/Table-View-Transfer/Cape-Town-International-Airport", "12Go Link")</f>
        <v>12Go Link</v>
      </c>
      <c r="E4209" s="2" t="s">
        <v>191</v>
      </c>
    </row>
    <row r="4210">
      <c r="A4210" s="2" t="s">
        <v>4331</v>
      </c>
      <c r="B4210" s="2" t="s">
        <v>4331</v>
      </c>
      <c r="C4210" s="2" t="s">
        <v>4447</v>
      </c>
      <c r="D4210" s="3" t="str">
        <f t="shared" si="528"/>
        <v>12Go Link</v>
      </c>
      <c r="E4210" s="2" t="s">
        <v>192</v>
      </c>
    </row>
    <row r="4211">
      <c r="A4211" s="2" t="s">
        <v>4331</v>
      </c>
      <c r="B4211" s="2" t="s">
        <v>4331</v>
      </c>
      <c r="C4211" s="2" t="s">
        <v>4447</v>
      </c>
      <c r="D4211" s="3" t="str">
        <f t="shared" si="528"/>
        <v>12Go Link</v>
      </c>
      <c r="E4211" s="2" t="s">
        <v>193</v>
      </c>
    </row>
    <row r="4212">
      <c r="A4212" s="2" t="s">
        <v>4331</v>
      </c>
      <c r="B4212" s="2" t="s">
        <v>4331</v>
      </c>
      <c r="C4212" s="2" t="s">
        <v>4448</v>
      </c>
      <c r="D4212" s="3" t="str">
        <f t="shared" ref="D4212:D4214" si="529">HYPERLINK("https://12go.asia/en/travel/Tamboerskloof-Transfer/Cape-Town-International-Airport", "12Go Link")</f>
        <v>12Go Link</v>
      </c>
      <c r="E4212" s="2" t="s">
        <v>191</v>
      </c>
    </row>
    <row r="4213">
      <c r="A4213" s="2" t="s">
        <v>4331</v>
      </c>
      <c r="B4213" s="2" t="s">
        <v>4331</v>
      </c>
      <c r="C4213" s="2" t="s">
        <v>4448</v>
      </c>
      <c r="D4213" s="3" t="str">
        <f t="shared" si="529"/>
        <v>12Go Link</v>
      </c>
      <c r="E4213" s="2" t="s">
        <v>192</v>
      </c>
    </row>
    <row r="4214">
      <c r="A4214" s="2" t="s">
        <v>4331</v>
      </c>
      <c r="B4214" s="2" t="s">
        <v>4331</v>
      </c>
      <c r="C4214" s="2" t="s">
        <v>4448</v>
      </c>
      <c r="D4214" s="3" t="str">
        <f t="shared" si="529"/>
        <v>12Go Link</v>
      </c>
      <c r="E4214" s="2" t="s">
        <v>193</v>
      </c>
    </row>
    <row r="4215">
      <c r="A4215" s="2" t="s">
        <v>4331</v>
      </c>
      <c r="B4215" s="2" t="s">
        <v>4331</v>
      </c>
      <c r="C4215" s="2" t="s">
        <v>4449</v>
      </c>
      <c r="D4215" s="3" t="str">
        <f t="shared" ref="D4215:D4217" si="530">HYPERLINK("https://12go.asia/en/travel/Tokai-Transfer/Cape-Town-International-Airport", "12Go Link")</f>
        <v>12Go Link</v>
      </c>
      <c r="E4215" s="2" t="s">
        <v>191</v>
      </c>
    </row>
    <row r="4216">
      <c r="A4216" s="2" t="s">
        <v>4331</v>
      </c>
      <c r="B4216" s="2" t="s">
        <v>4331</v>
      </c>
      <c r="C4216" s="2" t="s">
        <v>4449</v>
      </c>
      <c r="D4216" s="3" t="str">
        <f t="shared" si="530"/>
        <v>12Go Link</v>
      </c>
      <c r="E4216" s="2" t="s">
        <v>192</v>
      </c>
    </row>
    <row r="4217">
      <c r="A4217" s="2" t="s">
        <v>4331</v>
      </c>
      <c r="B4217" s="2" t="s">
        <v>4331</v>
      </c>
      <c r="C4217" s="2" t="s">
        <v>4449</v>
      </c>
      <c r="D4217" s="3" t="str">
        <f t="shared" si="530"/>
        <v>12Go Link</v>
      </c>
      <c r="E4217" s="2" t="s">
        <v>193</v>
      </c>
    </row>
    <row r="4218">
      <c r="A4218" s="2" t="s">
        <v>4331</v>
      </c>
      <c r="B4218" s="2" t="s">
        <v>4331</v>
      </c>
      <c r="C4218" s="2" t="s">
        <v>4450</v>
      </c>
      <c r="D4218" s="3" t="str">
        <f t="shared" ref="D4218:D4220" si="531">HYPERLINK("https://12go.asia/en/travel/V-and-A-Waterfront-Transfer/Cape-Town-International-Airport", "12Go Link")</f>
        <v>12Go Link</v>
      </c>
      <c r="E4218" s="2" t="s">
        <v>191</v>
      </c>
    </row>
    <row r="4219">
      <c r="A4219" s="2" t="s">
        <v>4331</v>
      </c>
      <c r="B4219" s="2" t="s">
        <v>4331</v>
      </c>
      <c r="C4219" s="2" t="s">
        <v>4450</v>
      </c>
      <c r="D4219" s="3" t="str">
        <f t="shared" si="531"/>
        <v>12Go Link</v>
      </c>
      <c r="E4219" s="2" t="s">
        <v>192</v>
      </c>
    </row>
    <row r="4220">
      <c r="A4220" s="2" t="s">
        <v>4331</v>
      </c>
      <c r="B4220" s="2" t="s">
        <v>4331</v>
      </c>
      <c r="C4220" s="2" t="s">
        <v>4450</v>
      </c>
      <c r="D4220" s="3" t="str">
        <f t="shared" si="531"/>
        <v>12Go Link</v>
      </c>
      <c r="E4220" s="2" t="s">
        <v>193</v>
      </c>
    </row>
    <row r="4221">
      <c r="A4221" s="2" t="s">
        <v>4331</v>
      </c>
      <c r="B4221" s="2" t="s">
        <v>4331</v>
      </c>
      <c r="C4221" s="2" t="s">
        <v>4451</v>
      </c>
      <c r="D4221" s="3" t="str">
        <f t="shared" ref="D4221:D4223" si="532">HYPERLINK("https://12go.asia/en/travel/Wynberg-Transfer/Cape-Town-International-Airport", "12Go Link")</f>
        <v>12Go Link</v>
      </c>
      <c r="E4221" s="2" t="s">
        <v>191</v>
      </c>
    </row>
    <row r="4222">
      <c r="A4222" s="2" t="s">
        <v>4331</v>
      </c>
      <c r="B4222" s="2" t="s">
        <v>4331</v>
      </c>
      <c r="C4222" s="2" t="s">
        <v>4451</v>
      </c>
      <c r="D4222" s="3" t="str">
        <f t="shared" si="532"/>
        <v>12Go Link</v>
      </c>
      <c r="E4222" s="2" t="s">
        <v>192</v>
      </c>
    </row>
    <row r="4223">
      <c r="A4223" s="2" t="s">
        <v>4331</v>
      </c>
      <c r="B4223" s="2" t="s">
        <v>4331</v>
      </c>
      <c r="C4223" s="2" t="s">
        <v>4451</v>
      </c>
      <c r="D4223" s="3" t="str">
        <f t="shared" si="532"/>
        <v>12Go Link</v>
      </c>
      <c r="E4223" s="2" t="s">
        <v>193</v>
      </c>
    </row>
    <row r="4224">
      <c r="A4224" s="2" t="s">
        <v>4331</v>
      </c>
      <c r="B4224" s="2" t="s">
        <v>4319</v>
      </c>
      <c r="C4224" s="2" t="s">
        <v>4452</v>
      </c>
      <c r="D4224" s="3" t="str">
        <f t="shared" ref="D4224:D4226" si="533">HYPERLINK("https://12go.asia/en/travel/Two-Oceans-Mall-Transfer/Durban-International-Airport", "12Go Link")</f>
        <v>12Go Link</v>
      </c>
      <c r="E4224" s="2" t="s">
        <v>191</v>
      </c>
    </row>
    <row r="4225">
      <c r="A4225" s="2" t="s">
        <v>4331</v>
      </c>
      <c r="B4225" s="2" t="s">
        <v>4319</v>
      </c>
      <c r="C4225" s="2" t="s">
        <v>4452</v>
      </c>
      <c r="D4225" s="3" t="str">
        <f t="shared" si="533"/>
        <v>12Go Link</v>
      </c>
      <c r="E4225" s="2" t="s">
        <v>192</v>
      </c>
    </row>
    <row r="4226">
      <c r="A4226" s="2" t="s">
        <v>4331</v>
      </c>
      <c r="B4226" s="2" t="s">
        <v>4319</v>
      </c>
      <c r="C4226" s="2" t="s">
        <v>4452</v>
      </c>
      <c r="D4226" s="3" t="str">
        <f t="shared" si="533"/>
        <v>12Go Link</v>
      </c>
      <c r="E4226" s="2" t="s">
        <v>193</v>
      </c>
    </row>
    <row r="4227">
      <c r="A4227" s="2" t="s">
        <v>4331</v>
      </c>
      <c r="B4227" s="2" t="s">
        <v>4453</v>
      </c>
      <c r="C4227" s="2" t="s">
        <v>4454</v>
      </c>
      <c r="D4227" s="3" t="str">
        <f t="shared" ref="D4227:D4229" si="534">HYPERLINK("https://12go.asia/en/travel/Cape-Town-International-Airport/Fish-Hoek-Transfer", "12Go Link")</f>
        <v>12Go Link</v>
      </c>
      <c r="E4227" s="2" t="s">
        <v>191</v>
      </c>
    </row>
    <row r="4228">
      <c r="A4228" s="2" t="s">
        <v>4331</v>
      </c>
      <c r="B4228" s="2" t="s">
        <v>4453</v>
      </c>
      <c r="C4228" s="2" t="s">
        <v>4454</v>
      </c>
      <c r="D4228" s="3" t="str">
        <f t="shared" si="534"/>
        <v>12Go Link</v>
      </c>
      <c r="E4228" s="2" t="s">
        <v>192</v>
      </c>
    </row>
    <row r="4229">
      <c r="A4229" s="2" t="s">
        <v>4331</v>
      </c>
      <c r="B4229" s="2" t="s">
        <v>4453</v>
      </c>
      <c r="C4229" s="2" t="s">
        <v>4454</v>
      </c>
      <c r="D4229" s="3" t="str">
        <f t="shared" si="534"/>
        <v>12Go Link</v>
      </c>
      <c r="E4229" s="2" t="s">
        <v>193</v>
      </c>
    </row>
    <row r="4230">
      <c r="A4230" s="2" t="s">
        <v>4331</v>
      </c>
      <c r="B4230" s="2" t="s">
        <v>4455</v>
      </c>
      <c r="C4230" s="2" t="s">
        <v>4456</v>
      </c>
      <c r="D4230" s="3" t="str">
        <f t="shared" ref="D4230:D4232" si="535">HYPERLINK("https://12go.asia/en/travel/Cape-Town-International-Airport/Franschoek-Transfer", "12Go Link")</f>
        <v>12Go Link</v>
      </c>
      <c r="E4230" s="2" t="s">
        <v>191</v>
      </c>
    </row>
    <row r="4231">
      <c r="A4231" s="2" t="s">
        <v>4331</v>
      </c>
      <c r="B4231" s="2" t="s">
        <v>4455</v>
      </c>
      <c r="C4231" s="2" t="s">
        <v>4456</v>
      </c>
      <c r="D4231" s="3" t="str">
        <f t="shared" si="535"/>
        <v>12Go Link</v>
      </c>
      <c r="E4231" s="2" t="s">
        <v>192</v>
      </c>
    </row>
    <row r="4232">
      <c r="A4232" s="2" t="s">
        <v>4331</v>
      </c>
      <c r="B4232" s="2" t="s">
        <v>4455</v>
      </c>
      <c r="C4232" s="2" t="s">
        <v>4456</v>
      </c>
      <c r="D4232" s="3" t="str">
        <f t="shared" si="535"/>
        <v>12Go Link</v>
      </c>
      <c r="E4232" s="2" t="s">
        <v>193</v>
      </c>
    </row>
    <row r="4233">
      <c r="A4233" s="2" t="s">
        <v>4331</v>
      </c>
      <c r="B4233" s="2" t="s">
        <v>4457</v>
      </c>
      <c r="C4233" s="2" t="s">
        <v>4458</v>
      </c>
      <c r="D4233" s="3" t="str">
        <f t="shared" ref="D4233:D4235" si="536">HYPERLINK("https://12go.asia/en/travel/Cape-Town-International-Airport/Gansbaai-Transfer", "12Go Link")</f>
        <v>12Go Link</v>
      </c>
      <c r="E4233" s="2" t="s">
        <v>191</v>
      </c>
    </row>
    <row r="4234">
      <c r="A4234" s="2" t="s">
        <v>4331</v>
      </c>
      <c r="B4234" s="2" t="s">
        <v>4457</v>
      </c>
      <c r="C4234" s="2" t="s">
        <v>4458</v>
      </c>
      <c r="D4234" s="3" t="str">
        <f t="shared" si="536"/>
        <v>12Go Link</v>
      </c>
      <c r="E4234" s="2" t="s">
        <v>192</v>
      </c>
    </row>
    <row r="4235">
      <c r="A4235" s="2" t="s">
        <v>4331</v>
      </c>
      <c r="B4235" s="2" t="s">
        <v>4457</v>
      </c>
      <c r="C4235" s="2" t="s">
        <v>4458</v>
      </c>
      <c r="D4235" s="3" t="str">
        <f t="shared" si="536"/>
        <v>12Go Link</v>
      </c>
      <c r="E4235" s="2" t="s">
        <v>193</v>
      </c>
    </row>
    <row r="4236">
      <c r="A4236" s="2" t="s">
        <v>4331</v>
      </c>
      <c r="B4236" s="2" t="s">
        <v>4307</v>
      </c>
      <c r="C4236" s="2" t="s">
        <v>4459</v>
      </c>
      <c r="D4236" s="3" t="str">
        <f t="shared" ref="D4236:D4238" si="537">HYPERLINK("https://12go.asia/en/travel/Penguin-Route-Transfer/Chief-Dawid-Stuurman-Intl-Airport", "12Go Link")</f>
        <v>12Go Link</v>
      </c>
      <c r="E4236" s="2" t="s">
        <v>191</v>
      </c>
    </row>
    <row r="4237">
      <c r="A4237" s="2" t="s">
        <v>4331</v>
      </c>
      <c r="B4237" s="2" t="s">
        <v>4307</v>
      </c>
      <c r="C4237" s="2" t="s">
        <v>4459</v>
      </c>
      <c r="D4237" s="3" t="str">
        <f t="shared" si="537"/>
        <v>12Go Link</v>
      </c>
      <c r="E4237" s="2" t="s">
        <v>192</v>
      </c>
    </row>
    <row r="4238">
      <c r="A4238" s="2" t="s">
        <v>4331</v>
      </c>
      <c r="B4238" s="2" t="s">
        <v>4307</v>
      </c>
      <c r="C4238" s="2" t="s">
        <v>4459</v>
      </c>
      <c r="D4238" s="3" t="str">
        <f t="shared" si="537"/>
        <v>12Go Link</v>
      </c>
      <c r="E4238" s="2" t="s">
        <v>193</v>
      </c>
    </row>
    <row r="4239">
      <c r="A4239" s="2" t="s">
        <v>4331</v>
      </c>
      <c r="B4239" s="2" t="s">
        <v>4460</v>
      </c>
      <c r="C4239" s="2" t="s">
        <v>4461</v>
      </c>
      <c r="D4239" s="3" t="str">
        <f t="shared" ref="D4239:D4241" si="538">HYPERLINK("https://12go.asia/en/travel/Cape-Town-International-Airport/Grabouw-Transfer", "12Go Link")</f>
        <v>12Go Link</v>
      </c>
      <c r="E4239" s="2" t="s">
        <v>191</v>
      </c>
    </row>
    <row r="4240">
      <c r="A4240" s="2" t="s">
        <v>4331</v>
      </c>
      <c r="B4240" s="2" t="s">
        <v>4460</v>
      </c>
      <c r="C4240" s="2" t="s">
        <v>4461</v>
      </c>
      <c r="D4240" s="3" t="str">
        <f t="shared" si="538"/>
        <v>12Go Link</v>
      </c>
      <c r="E4240" s="2" t="s">
        <v>192</v>
      </c>
    </row>
    <row r="4241">
      <c r="A4241" s="2" t="s">
        <v>4331</v>
      </c>
      <c r="B4241" s="2" t="s">
        <v>4460</v>
      </c>
      <c r="C4241" s="2" t="s">
        <v>4461</v>
      </c>
      <c r="D4241" s="3" t="str">
        <f t="shared" si="538"/>
        <v>12Go Link</v>
      </c>
      <c r="E4241" s="2" t="s">
        <v>193</v>
      </c>
    </row>
    <row r="4242">
      <c r="A4242" s="2" t="s">
        <v>4331</v>
      </c>
      <c r="B4242" s="2" t="s">
        <v>4462</v>
      </c>
      <c r="C4242" s="2" t="s">
        <v>4463</v>
      </c>
      <c r="D4242" s="3" t="str">
        <f t="shared" ref="D4242:D4244" si="539">HYPERLINK("https://12go.asia/en/travel/Cape-Town-International-Airport/Hermanus-Transfer", "12Go Link")</f>
        <v>12Go Link</v>
      </c>
      <c r="E4242" s="2" t="s">
        <v>191</v>
      </c>
    </row>
    <row r="4243">
      <c r="A4243" s="2" t="s">
        <v>4331</v>
      </c>
      <c r="B4243" s="2" t="s">
        <v>4462</v>
      </c>
      <c r="C4243" s="2" t="s">
        <v>4463</v>
      </c>
      <c r="D4243" s="3" t="str">
        <f t="shared" si="539"/>
        <v>12Go Link</v>
      </c>
      <c r="E4243" s="2" t="s">
        <v>192</v>
      </c>
    </row>
    <row r="4244">
      <c r="A4244" s="2" t="s">
        <v>4331</v>
      </c>
      <c r="B4244" s="2" t="s">
        <v>4462</v>
      </c>
      <c r="C4244" s="2" t="s">
        <v>4463</v>
      </c>
      <c r="D4244" s="3" t="str">
        <f t="shared" si="539"/>
        <v>12Go Link</v>
      </c>
      <c r="E4244" s="2" t="s">
        <v>193</v>
      </c>
    </row>
    <row r="4245">
      <c r="A4245" s="2" t="s">
        <v>4331</v>
      </c>
      <c r="B4245" s="2" t="s">
        <v>4464</v>
      </c>
      <c r="C4245" s="2" t="s">
        <v>4465</v>
      </c>
      <c r="D4245" s="3" t="str">
        <f t="shared" ref="D4245:D4247" si="540">HYPERLINK("https://12go.asia/en/travel/Cape-Town-International-Airport/Kleinmond-Transfer", "12Go Link")</f>
        <v>12Go Link</v>
      </c>
      <c r="E4245" s="2" t="s">
        <v>191</v>
      </c>
    </row>
    <row r="4246">
      <c r="A4246" s="2" t="s">
        <v>4331</v>
      </c>
      <c r="B4246" s="2" t="s">
        <v>4464</v>
      </c>
      <c r="C4246" s="2" t="s">
        <v>4465</v>
      </c>
      <c r="D4246" s="3" t="str">
        <f t="shared" si="540"/>
        <v>12Go Link</v>
      </c>
      <c r="E4246" s="2" t="s">
        <v>192</v>
      </c>
    </row>
    <row r="4247">
      <c r="A4247" s="2" t="s">
        <v>4331</v>
      </c>
      <c r="B4247" s="2" t="s">
        <v>4464</v>
      </c>
      <c r="C4247" s="2" t="s">
        <v>4465</v>
      </c>
      <c r="D4247" s="3" t="str">
        <f t="shared" si="540"/>
        <v>12Go Link</v>
      </c>
      <c r="E4247" s="2" t="s">
        <v>193</v>
      </c>
    </row>
    <row r="4248">
      <c r="A4248" s="2" t="s">
        <v>4331</v>
      </c>
      <c r="B4248" s="2" t="s">
        <v>4466</v>
      </c>
      <c r="C4248" s="2" t="s">
        <v>4467</v>
      </c>
      <c r="D4248" s="3" t="str">
        <f t="shared" ref="D4248:D4250" si="541">HYPERLINK("https://12go.asia/en/travel/Cape-Town-International-Airport/Knysna-Transfer", "12Go Link")</f>
        <v>12Go Link</v>
      </c>
      <c r="E4248" s="2" t="s">
        <v>191</v>
      </c>
    </row>
    <row r="4249">
      <c r="A4249" s="2" t="s">
        <v>4331</v>
      </c>
      <c r="B4249" s="2" t="s">
        <v>4466</v>
      </c>
      <c r="C4249" s="2" t="s">
        <v>4467</v>
      </c>
      <c r="D4249" s="3" t="str">
        <f t="shared" si="541"/>
        <v>12Go Link</v>
      </c>
      <c r="E4249" s="2" t="s">
        <v>192</v>
      </c>
    </row>
    <row r="4250">
      <c r="A4250" s="2" t="s">
        <v>4331</v>
      </c>
      <c r="B4250" s="2" t="s">
        <v>4466</v>
      </c>
      <c r="C4250" s="2" t="s">
        <v>4467</v>
      </c>
      <c r="D4250" s="3" t="str">
        <f t="shared" si="541"/>
        <v>12Go Link</v>
      </c>
      <c r="E4250" s="2" t="s">
        <v>193</v>
      </c>
    </row>
    <row r="4251">
      <c r="A4251" s="2" t="s">
        <v>4331</v>
      </c>
      <c r="B4251" s="2" t="s">
        <v>4468</v>
      </c>
      <c r="C4251" s="2" t="s">
        <v>4469</v>
      </c>
      <c r="D4251" s="3" t="str">
        <f t="shared" ref="D4251:D4253" si="542">HYPERLINK("https://12go.asia/en/travel/Cape-Town-International-Airport/Langebaan-Transfer", "12Go Link")</f>
        <v>12Go Link</v>
      </c>
      <c r="E4251" s="2" t="s">
        <v>191</v>
      </c>
    </row>
    <row r="4252">
      <c r="A4252" s="2" t="s">
        <v>4331</v>
      </c>
      <c r="B4252" s="2" t="s">
        <v>4468</v>
      </c>
      <c r="C4252" s="2" t="s">
        <v>4469</v>
      </c>
      <c r="D4252" s="3" t="str">
        <f t="shared" si="542"/>
        <v>12Go Link</v>
      </c>
      <c r="E4252" s="2" t="s">
        <v>192</v>
      </c>
    </row>
    <row r="4253">
      <c r="A4253" s="2" t="s">
        <v>4331</v>
      </c>
      <c r="B4253" s="2" t="s">
        <v>4468</v>
      </c>
      <c r="C4253" s="2" t="s">
        <v>4469</v>
      </c>
      <c r="D4253" s="3" t="str">
        <f t="shared" si="542"/>
        <v>12Go Link</v>
      </c>
      <c r="E4253" s="2" t="s">
        <v>193</v>
      </c>
    </row>
    <row r="4254">
      <c r="A4254" s="2" t="s">
        <v>4331</v>
      </c>
      <c r="B4254" s="2" t="s">
        <v>4470</v>
      </c>
      <c r="C4254" s="2" t="s">
        <v>4471</v>
      </c>
      <c r="D4254" s="3" t="str">
        <f t="shared" ref="D4254:D4256" si="543">HYPERLINK("https://12go.asia/en/travel/Cape-Town-International-Airport/Melkbosstrand-Transfer", "12Go Link")</f>
        <v>12Go Link</v>
      </c>
      <c r="E4254" s="2" t="s">
        <v>191</v>
      </c>
    </row>
    <row r="4255">
      <c r="A4255" s="2" t="s">
        <v>4331</v>
      </c>
      <c r="B4255" s="2" t="s">
        <v>4470</v>
      </c>
      <c r="C4255" s="2" t="s">
        <v>4471</v>
      </c>
      <c r="D4255" s="3" t="str">
        <f t="shared" si="543"/>
        <v>12Go Link</v>
      </c>
      <c r="E4255" s="2" t="s">
        <v>192</v>
      </c>
    </row>
    <row r="4256">
      <c r="A4256" s="2" t="s">
        <v>4331</v>
      </c>
      <c r="B4256" s="2" t="s">
        <v>4470</v>
      </c>
      <c r="C4256" s="2" t="s">
        <v>4471</v>
      </c>
      <c r="D4256" s="3" t="str">
        <f t="shared" si="543"/>
        <v>12Go Link</v>
      </c>
      <c r="E4256" s="2" t="s">
        <v>193</v>
      </c>
    </row>
    <row r="4257">
      <c r="A4257" s="2" t="s">
        <v>4331</v>
      </c>
      <c r="B4257" s="2" t="s">
        <v>4472</v>
      </c>
      <c r="C4257" s="2" t="s">
        <v>4473</v>
      </c>
      <c r="D4257" s="3" t="str">
        <f t="shared" ref="D4257:D4259" si="544">HYPERLINK("https://12go.asia/en/travel/Cape-Town-International-Airport/Milnerton-Transfer", "12Go Link")</f>
        <v>12Go Link</v>
      </c>
      <c r="E4257" s="2" t="s">
        <v>191</v>
      </c>
    </row>
    <row r="4258">
      <c r="A4258" s="2" t="s">
        <v>4331</v>
      </c>
      <c r="B4258" s="2" t="s">
        <v>4472</v>
      </c>
      <c r="C4258" s="2" t="s">
        <v>4473</v>
      </c>
      <c r="D4258" s="3" t="str">
        <f t="shared" si="544"/>
        <v>12Go Link</v>
      </c>
      <c r="E4258" s="2" t="s">
        <v>192</v>
      </c>
    </row>
    <row r="4259">
      <c r="A4259" s="2" t="s">
        <v>4331</v>
      </c>
      <c r="B4259" s="2" t="s">
        <v>4472</v>
      </c>
      <c r="C4259" s="2" t="s">
        <v>4473</v>
      </c>
      <c r="D4259" s="3" t="str">
        <f t="shared" si="544"/>
        <v>12Go Link</v>
      </c>
      <c r="E4259" s="2" t="s">
        <v>193</v>
      </c>
    </row>
    <row r="4260">
      <c r="A4260" s="2" t="s">
        <v>4331</v>
      </c>
      <c r="B4260" s="2" t="s">
        <v>4474</v>
      </c>
      <c r="C4260" s="2" t="s">
        <v>4475</v>
      </c>
      <c r="D4260" s="3" t="str">
        <f t="shared" ref="D4260:D4262" si="545">HYPERLINK("https://12go.asia/en/travel/Cape-Town-International-Airport/Noordhoek-Transfer", "12Go Link")</f>
        <v>12Go Link</v>
      </c>
      <c r="E4260" s="2" t="s">
        <v>191</v>
      </c>
    </row>
    <row r="4261">
      <c r="A4261" s="2" t="s">
        <v>4331</v>
      </c>
      <c r="B4261" s="2" t="s">
        <v>4474</v>
      </c>
      <c r="C4261" s="2" t="s">
        <v>4475</v>
      </c>
      <c r="D4261" s="3" t="str">
        <f t="shared" si="545"/>
        <v>12Go Link</v>
      </c>
      <c r="E4261" s="2" t="s">
        <v>192</v>
      </c>
    </row>
    <row r="4262">
      <c r="A4262" s="2" t="s">
        <v>4331</v>
      </c>
      <c r="B4262" s="2" t="s">
        <v>4474</v>
      </c>
      <c r="C4262" s="2" t="s">
        <v>4475</v>
      </c>
      <c r="D4262" s="3" t="str">
        <f t="shared" si="545"/>
        <v>12Go Link</v>
      </c>
      <c r="E4262" s="2" t="s">
        <v>193</v>
      </c>
    </row>
    <row r="4263">
      <c r="A4263" s="2" t="s">
        <v>4331</v>
      </c>
      <c r="B4263" s="2" t="s">
        <v>4476</v>
      </c>
      <c r="C4263" s="2" t="s">
        <v>4477</v>
      </c>
      <c r="D4263" s="3" t="str">
        <f t="shared" ref="D4263:D4265" si="546">HYPERLINK("https://12go.asia/en/travel/Cape-Town-International-Airport/Oudsthoorn-Transfer", "12Go Link")</f>
        <v>12Go Link</v>
      </c>
      <c r="E4263" s="2" t="s">
        <v>191</v>
      </c>
    </row>
    <row r="4264">
      <c r="A4264" s="2" t="s">
        <v>4331</v>
      </c>
      <c r="B4264" s="2" t="s">
        <v>4476</v>
      </c>
      <c r="C4264" s="2" t="s">
        <v>4477</v>
      </c>
      <c r="D4264" s="3" t="str">
        <f t="shared" si="546"/>
        <v>12Go Link</v>
      </c>
      <c r="E4264" s="2" t="s">
        <v>192</v>
      </c>
    </row>
    <row r="4265">
      <c r="A4265" s="2" t="s">
        <v>4331</v>
      </c>
      <c r="B4265" s="2" t="s">
        <v>4476</v>
      </c>
      <c r="C4265" s="2" t="s">
        <v>4477</v>
      </c>
      <c r="D4265" s="3" t="str">
        <f t="shared" si="546"/>
        <v>12Go Link</v>
      </c>
      <c r="E4265" s="2" t="s">
        <v>193</v>
      </c>
    </row>
    <row r="4266">
      <c r="A4266" s="2" t="s">
        <v>4331</v>
      </c>
      <c r="B4266" s="2" t="s">
        <v>4478</v>
      </c>
      <c r="C4266" s="2" t="s">
        <v>4479</v>
      </c>
      <c r="D4266" s="3" t="str">
        <f t="shared" ref="D4266:D4268" si="547">HYPERLINK("https://12go.asia/en/travel/Cape-Town-International-Airport/Paarl-Transfer", "12Go Link")</f>
        <v>12Go Link</v>
      </c>
      <c r="E4266" s="2" t="s">
        <v>191</v>
      </c>
    </row>
    <row r="4267">
      <c r="A4267" s="2" t="s">
        <v>4331</v>
      </c>
      <c r="B4267" s="2" t="s">
        <v>4478</v>
      </c>
      <c r="C4267" s="2" t="s">
        <v>4479</v>
      </c>
      <c r="D4267" s="3" t="str">
        <f t="shared" si="547"/>
        <v>12Go Link</v>
      </c>
      <c r="E4267" s="2" t="s">
        <v>192</v>
      </c>
    </row>
    <row r="4268">
      <c r="A4268" s="2" t="s">
        <v>4331</v>
      </c>
      <c r="B4268" s="2" t="s">
        <v>4478</v>
      </c>
      <c r="C4268" s="2" t="s">
        <v>4479</v>
      </c>
      <c r="D4268" s="3" t="str">
        <f t="shared" si="547"/>
        <v>12Go Link</v>
      </c>
      <c r="E4268" s="2" t="s">
        <v>193</v>
      </c>
    </row>
    <row r="4269">
      <c r="A4269" s="2" t="s">
        <v>4331</v>
      </c>
      <c r="B4269" s="2" t="s">
        <v>4478</v>
      </c>
      <c r="C4269" s="2" t="s">
        <v>4480</v>
      </c>
      <c r="D4269" s="3" t="str">
        <f t="shared" ref="D4269:D4271" si="548">HYPERLINK("https://12go.asia/en/travel/Cape-Town-International-Airport/Wellington-Transfer", "12Go Link")</f>
        <v>12Go Link</v>
      </c>
      <c r="E4269" s="2" t="s">
        <v>191</v>
      </c>
    </row>
    <row r="4270">
      <c r="A4270" s="2" t="s">
        <v>4331</v>
      </c>
      <c r="B4270" s="2" t="s">
        <v>4478</v>
      </c>
      <c r="C4270" s="2" t="s">
        <v>4480</v>
      </c>
      <c r="D4270" s="3" t="str">
        <f t="shared" si="548"/>
        <v>12Go Link</v>
      </c>
      <c r="E4270" s="2" t="s">
        <v>192</v>
      </c>
    </row>
    <row r="4271">
      <c r="A4271" s="2" t="s">
        <v>4331</v>
      </c>
      <c r="B4271" s="2" t="s">
        <v>4478</v>
      </c>
      <c r="C4271" s="2" t="s">
        <v>4480</v>
      </c>
      <c r="D4271" s="3" t="str">
        <f t="shared" si="548"/>
        <v>12Go Link</v>
      </c>
      <c r="E4271" s="2" t="s">
        <v>193</v>
      </c>
    </row>
    <row r="4272">
      <c r="A4272" s="2" t="s">
        <v>4331</v>
      </c>
      <c r="B4272" s="2" t="s">
        <v>4481</v>
      </c>
      <c r="C4272" s="2" t="s">
        <v>4482</v>
      </c>
      <c r="D4272" s="3" t="str">
        <f t="shared" ref="D4272:D4274" si="549">HYPERLINK("https://12go.asia/en/travel/Cape-Town-International-Airport/Parow-Transfer", "12Go Link")</f>
        <v>12Go Link</v>
      </c>
      <c r="E4272" s="2" t="s">
        <v>191</v>
      </c>
    </row>
    <row r="4273">
      <c r="A4273" s="2" t="s">
        <v>4331</v>
      </c>
      <c r="B4273" s="2" t="s">
        <v>4481</v>
      </c>
      <c r="C4273" s="2" t="s">
        <v>4482</v>
      </c>
      <c r="D4273" s="3" t="str">
        <f t="shared" si="549"/>
        <v>12Go Link</v>
      </c>
      <c r="E4273" s="2" t="s">
        <v>192</v>
      </c>
    </row>
    <row r="4274">
      <c r="A4274" s="2" t="s">
        <v>4331</v>
      </c>
      <c r="B4274" s="2" t="s">
        <v>4481</v>
      </c>
      <c r="C4274" s="2" t="s">
        <v>4482</v>
      </c>
      <c r="D4274" s="3" t="str">
        <f t="shared" si="549"/>
        <v>12Go Link</v>
      </c>
      <c r="E4274" s="2" t="s">
        <v>193</v>
      </c>
    </row>
    <row r="4275">
      <c r="A4275" s="2" t="s">
        <v>4331</v>
      </c>
      <c r="B4275" s="2" t="s">
        <v>4483</v>
      </c>
      <c r="C4275" s="2" t="s">
        <v>4484</v>
      </c>
      <c r="D4275" s="3" t="str">
        <f t="shared" ref="D4275:D4277" si="550">HYPERLINK("https://12go.asia/en/travel/Cape-Town-International-Airport/Somerset-West-Transfer", "12Go Link")</f>
        <v>12Go Link</v>
      </c>
      <c r="E4275" s="2" t="s">
        <v>191</v>
      </c>
    </row>
    <row r="4276">
      <c r="A4276" s="2" t="s">
        <v>4331</v>
      </c>
      <c r="B4276" s="2" t="s">
        <v>4483</v>
      </c>
      <c r="C4276" s="2" t="s">
        <v>4484</v>
      </c>
      <c r="D4276" s="3" t="str">
        <f t="shared" si="550"/>
        <v>12Go Link</v>
      </c>
      <c r="E4276" s="2" t="s">
        <v>192</v>
      </c>
    </row>
    <row r="4277">
      <c r="A4277" s="2" t="s">
        <v>4331</v>
      </c>
      <c r="B4277" s="2" t="s">
        <v>4483</v>
      </c>
      <c r="C4277" s="2" t="s">
        <v>4484</v>
      </c>
      <c r="D4277" s="3" t="str">
        <f t="shared" si="550"/>
        <v>12Go Link</v>
      </c>
      <c r="E4277" s="2" t="s">
        <v>193</v>
      </c>
    </row>
    <row r="4278">
      <c r="A4278" s="2" t="s">
        <v>4331</v>
      </c>
      <c r="B4278" s="2" t="s">
        <v>4485</v>
      </c>
      <c r="C4278" s="2" t="s">
        <v>4486</v>
      </c>
      <c r="D4278" s="3" t="str">
        <f t="shared" ref="D4278:D4280" si="551">HYPERLINK("https://12go.asia/en/travel/Cape-Town-International-Airport/Stellenbosch-Transfer", "12Go Link")</f>
        <v>12Go Link</v>
      </c>
      <c r="E4278" s="2" t="s">
        <v>191</v>
      </c>
    </row>
    <row r="4279">
      <c r="A4279" s="2" t="s">
        <v>4331</v>
      </c>
      <c r="B4279" s="2" t="s">
        <v>4485</v>
      </c>
      <c r="C4279" s="2" t="s">
        <v>4486</v>
      </c>
      <c r="D4279" s="3" t="str">
        <f t="shared" si="551"/>
        <v>12Go Link</v>
      </c>
      <c r="E4279" s="2" t="s">
        <v>192</v>
      </c>
    </row>
    <row r="4280">
      <c r="A4280" s="2" t="s">
        <v>4331</v>
      </c>
      <c r="B4280" s="2" t="s">
        <v>4485</v>
      </c>
      <c r="C4280" s="2" t="s">
        <v>4486</v>
      </c>
      <c r="D4280" s="3" t="str">
        <f t="shared" si="551"/>
        <v>12Go Link</v>
      </c>
      <c r="E4280" s="2" t="s">
        <v>193</v>
      </c>
    </row>
    <row r="4281">
      <c r="A4281" s="2" t="s">
        <v>4331</v>
      </c>
      <c r="B4281" s="2" t="s">
        <v>4487</v>
      </c>
      <c r="C4281" s="2" t="s">
        <v>4488</v>
      </c>
      <c r="D4281" s="3" t="str">
        <f t="shared" ref="D4281:D4283" si="552">HYPERLINK("https://12go.asia/en/travel/Cape-Town-International-Airport/Aquila-Private-Game-Reserve-Transfer", "12Go Link")</f>
        <v>12Go Link</v>
      </c>
      <c r="E4281" s="2" t="s">
        <v>191</v>
      </c>
    </row>
    <row r="4282">
      <c r="A4282" s="2" t="s">
        <v>4331</v>
      </c>
      <c r="B4282" s="2" t="s">
        <v>4487</v>
      </c>
      <c r="C4282" s="2" t="s">
        <v>4488</v>
      </c>
      <c r="D4282" s="3" t="str">
        <f t="shared" si="552"/>
        <v>12Go Link</v>
      </c>
      <c r="E4282" s="2" t="s">
        <v>192</v>
      </c>
    </row>
    <row r="4283">
      <c r="A4283" s="2" t="s">
        <v>4331</v>
      </c>
      <c r="B4283" s="2" t="s">
        <v>4487</v>
      </c>
      <c r="C4283" s="2" t="s">
        <v>4488</v>
      </c>
      <c r="D4283" s="3" t="str">
        <f t="shared" si="552"/>
        <v>12Go Link</v>
      </c>
      <c r="E4283" s="2" t="s">
        <v>193</v>
      </c>
    </row>
    <row r="4284">
      <c r="A4284" s="2" t="s">
        <v>4331</v>
      </c>
      <c r="B4284" s="2" t="s">
        <v>4489</v>
      </c>
      <c r="C4284" s="2" t="s">
        <v>4490</v>
      </c>
      <c r="D4284" s="3" t="str">
        <f t="shared" ref="D4284:D4286" si="553">HYPERLINK("https://12go.asia/en/travel/Cape-Town-International-Airport/Tulbagh-Transfer", "12Go Link")</f>
        <v>12Go Link</v>
      </c>
      <c r="E4284" s="2" t="s">
        <v>191</v>
      </c>
    </row>
    <row r="4285">
      <c r="A4285" s="2" t="s">
        <v>4331</v>
      </c>
      <c r="B4285" s="2" t="s">
        <v>4489</v>
      </c>
      <c r="C4285" s="2" t="s">
        <v>4490</v>
      </c>
      <c r="D4285" s="3" t="str">
        <f t="shared" si="553"/>
        <v>12Go Link</v>
      </c>
      <c r="E4285" s="2" t="s">
        <v>192</v>
      </c>
    </row>
    <row r="4286">
      <c r="A4286" s="2" t="s">
        <v>4331</v>
      </c>
      <c r="B4286" s="2" t="s">
        <v>4489</v>
      </c>
      <c r="C4286" s="2" t="s">
        <v>4490</v>
      </c>
      <c r="D4286" s="3" t="str">
        <f t="shared" si="553"/>
        <v>12Go Link</v>
      </c>
      <c r="E4286" s="2" t="s">
        <v>193</v>
      </c>
    </row>
    <row r="4287">
      <c r="A4287" s="2" t="s">
        <v>4491</v>
      </c>
      <c r="B4287" s="2" t="s">
        <v>4310</v>
      </c>
      <c r="C4287" s="2" t="s">
        <v>4492</v>
      </c>
      <c r="D4287" s="3" t="str">
        <f t="shared" ref="D4287:D4289" si="554">HYPERLINK("https://12go.asia/en/travel/Carolina-Transfer/OR-Tambo-International-Airport", "12Go Link")</f>
        <v>12Go Link</v>
      </c>
      <c r="E4287" s="2" t="s">
        <v>191</v>
      </c>
    </row>
    <row r="4288">
      <c r="A4288" s="2" t="s">
        <v>4491</v>
      </c>
      <c r="B4288" s="2" t="s">
        <v>4310</v>
      </c>
      <c r="C4288" s="2" t="s">
        <v>4492</v>
      </c>
      <c r="D4288" s="3" t="str">
        <f t="shared" si="554"/>
        <v>12Go Link</v>
      </c>
      <c r="E4288" s="2" t="s">
        <v>192</v>
      </c>
    </row>
    <row r="4289">
      <c r="A4289" s="2" t="s">
        <v>4491</v>
      </c>
      <c r="B4289" s="2" t="s">
        <v>4310</v>
      </c>
      <c r="C4289" s="2" t="s">
        <v>4492</v>
      </c>
      <c r="D4289" s="3" t="str">
        <f t="shared" si="554"/>
        <v>12Go Link</v>
      </c>
      <c r="E4289" s="2" t="s">
        <v>193</v>
      </c>
    </row>
    <row r="4290">
      <c r="A4290" s="2" t="s">
        <v>4493</v>
      </c>
      <c r="B4290" s="2" t="s">
        <v>4310</v>
      </c>
      <c r="C4290" s="2" t="s">
        <v>4494</v>
      </c>
      <c r="D4290" s="3" t="str">
        <f t="shared" ref="D4290:D4292" si="555">HYPERLINK("https://12go.asia/en/travel/Centurion-Transfer/OR-Tambo-International-Airport", "12Go Link")</f>
        <v>12Go Link</v>
      </c>
      <c r="E4290" s="2" t="s">
        <v>191</v>
      </c>
    </row>
    <row r="4291">
      <c r="A4291" s="2" t="s">
        <v>4493</v>
      </c>
      <c r="B4291" s="2" t="s">
        <v>4310</v>
      </c>
      <c r="C4291" s="2" t="s">
        <v>4494</v>
      </c>
      <c r="D4291" s="3" t="str">
        <f t="shared" si="555"/>
        <v>12Go Link</v>
      </c>
      <c r="E4291" s="2" t="s">
        <v>192</v>
      </c>
    </row>
    <row r="4292">
      <c r="A4292" s="2" t="s">
        <v>4493</v>
      </c>
      <c r="B4292" s="2" t="s">
        <v>4310</v>
      </c>
      <c r="C4292" s="2" t="s">
        <v>4494</v>
      </c>
      <c r="D4292" s="3" t="str">
        <f t="shared" si="555"/>
        <v>12Go Link</v>
      </c>
      <c r="E4292" s="2" t="s">
        <v>193</v>
      </c>
    </row>
    <row r="4293">
      <c r="A4293" s="2" t="s">
        <v>4495</v>
      </c>
      <c r="B4293" s="2" t="s">
        <v>4310</v>
      </c>
      <c r="C4293" s="2" t="s">
        <v>4496</v>
      </c>
      <c r="D4293" s="3" t="str">
        <f t="shared" ref="D4293:D4295" si="556">HYPERLINK("https://12go.asia/en/travel/Chrissiesmeer-Transfer/OR-Tambo-International-Airport", "12Go Link")</f>
        <v>12Go Link</v>
      </c>
      <c r="E4293" s="2" t="s">
        <v>191</v>
      </c>
    </row>
    <row r="4294">
      <c r="A4294" s="2" t="s">
        <v>4495</v>
      </c>
      <c r="B4294" s="2" t="s">
        <v>4310</v>
      </c>
      <c r="C4294" s="2" t="s">
        <v>4496</v>
      </c>
      <c r="D4294" s="3" t="str">
        <f t="shared" si="556"/>
        <v>12Go Link</v>
      </c>
      <c r="E4294" s="2" t="s">
        <v>192</v>
      </c>
    </row>
    <row r="4295">
      <c r="A4295" s="2" t="s">
        <v>4495</v>
      </c>
      <c r="B4295" s="2" t="s">
        <v>4310</v>
      </c>
      <c r="C4295" s="2" t="s">
        <v>4496</v>
      </c>
      <c r="D4295" s="3" t="str">
        <f t="shared" si="556"/>
        <v>12Go Link</v>
      </c>
      <c r="E4295" s="2" t="s">
        <v>193</v>
      </c>
    </row>
    <row r="4296">
      <c r="A4296" s="2" t="s">
        <v>4497</v>
      </c>
      <c r="B4296" s="2" t="s">
        <v>4310</v>
      </c>
      <c r="C4296" s="2" t="s">
        <v>4498</v>
      </c>
      <c r="D4296" s="3" t="str">
        <f t="shared" ref="D4296:D4298" si="557">HYPERLINK("https://12go.asia/en/travel/Delmas-Transfer/OR-Tambo-International-Airport", "12Go Link")</f>
        <v>12Go Link</v>
      </c>
      <c r="E4296" s="2" t="s">
        <v>191</v>
      </c>
    </row>
    <row r="4297">
      <c r="A4297" s="2" t="s">
        <v>4497</v>
      </c>
      <c r="B4297" s="2" t="s">
        <v>4310</v>
      </c>
      <c r="C4297" s="2" t="s">
        <v>4498</v>
      </c>
      <c r="D4297" s="3" t="str">
        <f t="shared" si="557"/>
        <v>12Go Link</v>
      </c>
      <c r="E4297" s="2" t="s">
        <v>192</v>
      </c>
    </row>
    <row r="4298">
      <c r="A4298" s="2" t="s">
        <v>4497</v>
      </c>
      <c r="B4298" s="2" t="s">
        <v>4310</v>
      </c>
      <c r="C4298" s="2" t="s">
        <v>4498</v>
      </c>
      <c r="D4298" s="3" t="str">
        <f t="shared" si="557"/>
        <v>12Go Link</v>
      </c>
      <c r="E4298" s="2" t="s">
        <v>193</v>
      </c>
    </row>
    <row r="4299">
      <c r="A4299" s="2" t="s">
        <v>4499</v>
      </c>
      <c r="B4299" s="2" t="s">
        <v>4310</v>
      </c>
      <c r="C4299" s="2" t="s">
        <v>4500</v>
      </c>
      <c r="D4299" s="3" t="str">
        <f t="shared" ref="D4299:D4301" si="558">HYPERLINK("https://12go.asia/en/travel/Dullstrom-Transfer/OR-Tambo-International-Airport", "12Go Link")</f>
        <v>12Go Link</v>
      </c>
      <c r="E4299" s="2" t="s">
        <v>191</v>
      </c>
    </row>
    <row r="4300">
      <c r="A4300" s="2" t="s">
        <v>4499</v>
      </c>
      <c r="B4300" s="2" t="s">
        <v>4310</v>
      </c>
      <c r="C4300" s="2" t="s">
        <v>4500</v>
      </c>
      <c r="D4300" s="3" t="str">
        <f t="shared" si="558"/>
        <v>12Go Link</v>
      </c>
      <c r="E4300" s="2" t="s">
        <v>192</v>
      </c>
    </row>
    <row r="4301">
      <c r="A4301" s="2" t="s">
        <v>4499</v>
      </c>
      <c r="B4301" s="2" t="s">
        <v>4310</v>
      </c>
      <c r="C4301" s="2" t="s">
        <v>4500</v>
      </c>
      <c r="D4301" s="3" t="str">
        <f t="shared" si="558"/>
        <v>12Go Link</v>
      </c>
      <c r="E4301" s="2" t="s">
        <v>193</v>
      </c>
    </row>
    <row r="4302">
      <c r="A4302" s="2" t="s">
        <v>4319</v>
      </c>
      <c r="B4302" s="2" t="s">
        <v>4318</v>
      </c>
      <c r="C4302" s="2" t="s">
        <v>4501</v>
      </c>
      <c r="D4302" s="3" t="str">
        <f t="shared" ref="D4302:D4304" si="559">HYPERLINK("https://12go.asia/en/travel/Durban-International-Airport/Ballito-Transfer", "12Go Link")</f>
        <v>12Go Link</v>
      </c>
      <c r="E4302" s="2" t="s">
        <v>191</v>
      </c>
    </row>
    <row r="4303">
      <c r="A4303" s="2" t="s">
        <v>4319</v>
      </c>
      <c r="B4303" s="2" t="s">
        <v>4318</v>
      </c>
      <c r="C4303" s="2" t="s">
        <v>4501</v>
      </c>
      <c r="D4303" s="3" t="str">
        <f t="shared" si="559"/>
        <v>12Go Link</v>
      </c>
      <c r="E4303" s="2" t="s">
        <v>192</v>
      </c>
    </row>
    <row r="4304">
      <c r="A4304" s="2" t="s">
        <v>4319</v>
      </c>
      <c r="B4304" s="2" t="s">
        <v>4318</v>
      </c>
      <c r="C4304" s="2" t="s">
        <v>4501</v>
      </c>
      <c r="D4304" s="3" t="str">
        <f t="shared" si="559"/>
        <v>12Go Link</v>
      </c>
      <c r="E4304" s="2" t="s">
        <v>193</v>
      </c>
    </row>
    <row r="4305">
      <c r="A4305" s="2" t="s">
        <v>4319</v>
      </c>
      <c r="B4305" s="2" t="s">
        <v>4318</v>
      </c>
      <c r="C4305" s="2" t="s">
        <v>4502</v>
      </c>
      <c r="D4305" s="3" t="str">
        <f t="shared" ref="D4305:D4307" si="560">HYPERLINK("https://12go.asia/en/travel/Durban-International-Airport/Dolphin-Coast-Transfer", "12Go Link")</f>
        <v>12Go Link</v>
      </c>
      <c r="E4305" s="2" t="s">
        <v>191</v>
      </c>
    </row>
    <row r="4306">
      <c r="A4306" s="2" t="s">
        <v>4319</v>
      </c>
      <c r="B4306" s="2" t="s">
        <v>4318</v>
      </c>
      <c r="C4306" s="2" t="s">
        <v>4502</v>
      </c>
      <c r="D4306" s="3" t="str">
        <f t="shared" si="560"/>
        <v>12Go Link</v>
      </c>
      <c r="E4306" s="2" t="s">
        <v>192</v>
      </c>
    </row>
    <row r="4307">
      <c r="A4307" s="2" t="s">
        <v>4319</v>
      </c>
      <c r="B4307" s="2" t="s">
        <v>4318</v>
      </c>
      <c r="C4307" s="2" t="s">
        <v>4502</v>
      </c>
      <c r="D4307" s="3" t="str">
        <f t="shared" si="560"/>
        <v>12Go Link</v>
      </c>
      <c r="E4307" s="2" t="s">
        <v>193</v>
      </c>
    </row>
    <row r="4308">
      <c r="A4308" s="2" t="s">
        <v>4319</v>
      </c>
      <c r="B4308" s="2" t="s">
        <v>4318</v>
      </c>
      <c r="C4308" s="2" t="s">
        <v>4503</v>
      </c>
      <c r="D4308" s="3" t="str">
        <f t="shared" ref="D4308:D4310" si="561">HYPERLINK("https://12go.asia/en/travel/Durban-International-Airport/Zimbali-Estate-Transfer", "12Go Link")</f>
        <v>12Go Link</v>
      </c>
      <c r="E4308" s="2" t="s">
        <v>191</v>
      </c>
    </row>
    <row r="4309">
      <c r="A4309" s="2" t="s">
        <v>4319</v>
      </c>
      <c r="B4309" s="2" t="s">
        <v>4318</v>
      </c>
      <c r="C4309" s="2" t="s">
        <v>4503</v>
      </c>
      <c r="D4309" s="3" t="str">
        <f t="shared" si="561"/>
        <v>12Go Link</v>
      </c>
      <c r="E4309" s="2" t="s">
        <v>192</v>
      </c>
    </row>
    <row r="4310">
      <c r="A4310" s="2" t="s">
        <v>4319</v>
      </c>
      <c r="B4310" s="2" t="s">
        <v>4318</v>
      </c>
      <c r="C4310" s="2" t="s">
        <v>4503</v>
      </c>
      <c r="D4310" s="3" t="str">
        <f t="shared" si="561"/>
        <v>12Go Link</v>
      </c>
      <c r="E4310" s="2" t="s">
        <v>193</v>
      </c>
    </row>
    <row r="4311">
      <c r="A4311" s="2" t="s">
        <v>4319</v>
      </c>
      <c r="B4311" s="2" t="s">
        <v>4331</v>
      </c>
      <c r="C4311" s="2" t="s">
        <v>4504</v>
      </c>
      <c r="D4311" s="3" t="str">
        <f t="shared" ref="D4311:D4313" si="562">HYPERLINK("https://12go.asia/en/travel/Durban-International-Airport/Two-Oceans-Mall-Transfer", "12Go Link")</f>
        <v>12Go Link</v>
      </c>
      <c r="E4311" s="2" t="s">
        <v>191</v>
      </c>
    </row>
    <row r="4312">
      <c r="A4312" s="2" t="s">
        <v>4319</v>
      </c>
      <c r="B4312" s="2" t="s">
        <v>4331</v>
      </c>
      <c r="C4312" s="2" t="s">
        <v>4504</v>
      </c>
      <c r="D4312" s="3" t="str">
        <f t="shared" si="562"/>
        <v>12Go Link</v>
      </c>
      <c r="E4312" s="2" t="s">
        <v>192</v>
      </c>
    </row>
    <row r="4313">
      <c r="A4313" s="2" t="s">
        <v>4319</v>
      </c>
      <c r="B4313" s="2" t="s">
        <v>4331</v>
      </c>
      <c r="C4313" s="2" t="s">
        <v>4504</v>
      </c>
      <c r="D4313" s="3" t="str">
        <f t="shared" si="562"/>
        <v>12Go Link</v>
      </c>
      <c r="E4313" s="2" t="s">
        <v>193</v>
      </c>
    </row>
    <row r="4314">
      <c r="A4314" s="2" t="s">
        <v>4319</v>
      </c>
      <c r="B4314" s="2" t="s">
        <v>4319</v>
      </c>
      <c r="C4314" s="2" t="s">
        <v>4505</v>
      </c>
      <c r="D4314" s="3" t="str">
        <f t="shared" ref="D4314:D4316" si="563">HYPERLINK("https://12go.asia/en/travel/Durban-International-Airport/Durban-North-Transfer", "12Go Link")</f>
        <v>12Go Link</v>
      </c>
      <c r="E4314" s="2" t="s">
        <v>191</v>
      </c>
    </row>
    <row r="4315">
      <c r="A4315" s="2" t="s">
        <v>4319</v>
      </c>
      <c r="B4315" s="2" t="s">
        <v>4319</v>
      </c>
      <c r="C4315" s="2" t="s">
        <v>4505</v>
      </c>
      <c r="D4315" s="3" t="str">
        <f t="shared" si="563"/>
        <v>12Go Link</v>
      </c>
      <c r="E4315" s="2" t="s">
        <v>192</v>
      </c>
    </row>
    <row r="4316">
      <c r="A4316" s="2" t="s">
        <v>4319</v>
      </c>
      <c r="B4316" s="2" t="s">
        <v>4319</v>
      </c>
      <c r="C4316" s="2" t="s">
        <v>4505</v>
      </c>
      <c r="D4316" s="3" t="str">
        <f t="shared" si="563"/>
        <v>12Go Link</v>
      </c>
      <c r="E4316" s="2" t="s">
        <v>193</v>
      </c>
    </row>
    <row r="4317">
      <c r="A4317" s="2" t="s">
        <v>4319</v>
      </c>
      <c r="B4317" s="2" t="s">
        <v>4319</v>
      </c>
      <c r="C4317" s="2" t="s">
        <v>4506</v>
      </c>
      <c r="D4317" s="3" t="str">
        <f t="shared" ref="D4317:D4319" si="564">HYPERLINK("https://12go.asia/en/travel/Durban-International-Airport/Durban-Transfer", "12Go Link")</f>
        <v>12Go Link</v>
      </c>
      <c r="E4317" s="2" t="s">
        <v>191</v>
      </c>
    </row>
    <row r="4318">
      <c r="A4318" s="2" t="s">
        <v>4319</v>
      </c>
      <c r="B4318" s="2" t="s">
        <v>4319</v>
      </c>
      <c r="C4318" s="2" t="s">
        <v>4506</v>
      </c>
      <c r="D4318" s="3" t="str">
        <f t="shared" si="564"/>
        <v>12Go Link</v>
      </c>
      <c r="E4318" s="2" t="s">
        <v>192</v>
      </c>
    </row>
    <row r="4319">
      <c r="A4319" s="2" t="s">
        <v>4319</v>
      </c>
      <c r="B4319" s="2" t="s">
        <v>4319</v>
      </c>
      <c r="C4319" s="2" t="s">
        <v>4506</v>
      </c>
      <c r="D4319" s="3" t="str">
        <f t="shared" si="564"/>
        <v>12Go Link</v>
      </c>
      <c r="E4319" s="2" t="s">
        <v>193</v>
      </c>
    </row>
    <row r="4320">
      <c r="A4320" s="2" t="s">
        <v>4319</v>
      </c>
      <c r="B4320" s="2" t="s">
        <v>4319</v>
      </c>
      <c r="C4320" s="2" t="s">
        <v>4507</v>
      </c>
      <c r="D4320" s="3" t="str">
        <f t="shared" ref="D4320:D4322" si="565">HYPERLINK("https://12go.asia/en/travel/Durban-International-Airport/Greater-Durban-Metro-Transfer", "12Go Link")</f>
        <v>12Go Link</v>
      </c>
      <c r="E4320" s="2" t="s">
        <v>191</v>
      </c>
    </row>
    <row r="4321">
      <c r="A4321" s="2" t="s">
        <v>4319</v>
      </c>
      <c r="B4321" s="2" t="s">
        <v>4319</v>
      </c>
      <c r="C4321" s="2" t="s">
        <v>4507</v>
      </c>
      <c r="D4321" s="3" t="str">
        <f t="shared" si="565"/>
        <v>12Go Link</v>
      </c>
      <c r="E4321" s="2" t="s">
        <v>192</v>
      </c>
    </row>
    <row r="4322">
      <c r="A4322" s="2" t="s">
        <v>4319</v>
      </c>
      <c r="B4322" s="2" t="s">
        <v>4319</v>
      </c>
      <c r="C4322" s="2" t="s">
        <v>4507</v>
      </c>
      <c r="D4322" s="3" t="str">
        <f t="shared" si="565"/>
        <v>12Go Link</v>
      </c>
      <c r="E4322" s="2" t="s">
        <v>193</v>
      </c>
    </row>
    <row r="4323">
      <c r="A4323" s="2" t="s">
        <v>4319</v>
      </c>
      <c r="B4323" s="2" t="s">
        <v>4319</v>
      </c>
      <c r="C4323" s="2" t="s">
        <v>4508</v>
      </c>
      <c r="D4323" s="3" t="str">
        <f t="shared" ref="D4323:D4325" si="566">HYPERLINK("https://12go.asia/en/travel/Durban-International-Airport/Moses-Mabhida-Stadium-Transfer", "12Go Link")</f>
        <v>12Go Link</v>
      </c>
      <c r="E4323" s="2" t="s">
        <v>191</v>
      </c>
    </row>
    <row r="4324">
      <c r="A4324" s="2" t="s">
        <v>4319</v>
      </c>
      <c r="B4324" s="2" t="s">
        <v>4319</v>
      </c>
      <c r="C4324" s="2" t="s">
        <v>4508</v>
      </c>
      <c r="D4324" s="3" t="str">
        <f t="shared" si="566"/>
        <v>12Go Link</v>
      </c>
      <c r="E4324" s="2" t="s">
        <v>192</v>
      </c>
    </row>
    <row r="4325">
      <c r="A4325" s="2" t="s">
        <v>4319</v>
      </c>
      <c r="B4325" s="2" t="s">
        <v>4319</v>
      </c>
      <c r="C4325" s="2" t="s">
        <v>4508</v>
      </c>
      <c r="D4325" s="3" t="str">
        <f t="shared" si="566"/>
        <v>12Go Link</v>
      </c>
      <c r="E4325" s="2" t="s">
        <v>193</v>
      </c>
    </row>
    <row r="4326">
      <c r="A4326" s="2" t="s">
        <v>4319</v>
      </c>
      <c r="B4326" s="2" t="s">
        <v>4319</v>
      </c>
      <c r="C4326" s="2" t="s">
        <v>4509</v>
      </c>
      <c r="D4326" s="3" t="str">
        <f t="shared" ref="D4326:D4328" si="567">HYPERLINK("https://12go.asia/en/travel/Durban-International-Airport/North-Beach-Transfer", "12Go Link")</f>
        <v>12Go Link</v>
      </c>
      <c r="E4326" s="2" t="s">
        <v>191</v>
      </c>
    </row>
    <row r="4327">
      <c r="A4327" s="2" t="s">
        <v>4319</v>
      </c>
      <c r="B4327" s="2" t="s">
        <v>4319</v>
      </c>
      <c r="C4327" s="2" t="s">
        <v>4509</v>
      </c>
      <c r="D4327" s="3" t="str">
        <f t="shared" si="567"/>
        <v>12Go Link</v>
      </c>
      <c r="E4327" s="2" t="s">
        <v>192</v>
      </c>
    </row>
    <row r="4328">
      <c r="A4328" s="2" t="s">
        <v>4319</v>
      </c>
      <c r="B4328" s="2" t="s">
        <v>4319</v>
      </c>
      <c r="C4328" s="2" t="s">
        <v>4509</v>
      </c>
      <c r="D4328" s="3" t="str">
        <f t="shared" si="567"/>
        <v>12Go Link</v>
      </c>
      <c r="E4328" s="2" t="s">
        <v>193</v>
      </c>
    </row>
    <row r="4329">
      <c r="A4329" s="2" t="s">
        <v>4319</v>
      </c>
      <c r="B4329" s="2" t="s">
        <v>4319</v>
      </c>
      <c r="C4329" s="2" t="s">
        <v>4510</v>
      </c>
      <c r="D4329" s="3" t="str">
        <f t="shared" ref="D4329:D4331" si="568">HYPERLINK("https://12go.asia/en/travel/Durban-International-Airport/Umhlanga-Transfer", "12Go Link")</f>
        <v>12Go Link</v>
      </c>
      <c r="E4329" s="2" t="s">
        <v>191</v>
      </c>
    </row>
    <row r="4330">
      <c r="A4330" s="2" t="s">
        <v>4319</v>
      </c>
      <c r="B4330" s="2" t="s">
        <v>4319</v>
      </c>
      <c r="C4330" s="2" t="s">
        <v>4510</v>
      </c>
      <c r="D4330" s="3" t="str">
        <f t="shared" si="568"/>
        <v>12Go Link</v>
      </c>
      <c r="E4330" s="2" t="s">
        <v>192</v>
      </c>
    </row>
    <row r="4331">
      <c r="A4331" s="2" t="s">
        <v>4319</v>
      </c>
      <c r="B4331" s="2" t="s">
        <v>4319</v>
      </c>
      <c r="C4331" s="2" t="s">
        <v>4510</v>
      </c>
      <c r="D4331" s="3" t="str">
        <f t="shared" si="568"/>
        <v>12Go Link</v>
      </c>
      <c r="E4331" s="2" t="s">
        <v>193</v>
      </c>
    </row>
    <row r="4332">
      <c r="A4332" s="2" t="s">
        <v>4319</v>
      </c>
      <c r="B4332" s="2" t="s">
        <v>4319</v>
      </c>
      <c r="C4332" s="2" t="s">
        <v>4511</v>
      </c>
      <c r="D4332" s="3" t="str">
        <f t="shared" ref="D4332:D4334" si="569">HYPERLINK("https://12go.asia/en/travel/Durban-International-Airport/uShaka-Marine-World-Transfer", "12Go Link")</f>
        <v>12Go Link</v>
      </c>
      <c r="E4332" s="2" t="s">
        <v>191</v>
      </c>
    </row>
    <row r="4333">
      <c r="A4333" s="2" t="s">
        <v>4319</v>
      </c>
      <c r="B4333" s="2" t="s">
        <v>4319</v>
      </c>
      <c r="C4333" s="2" t="s">
        <v>4511</v>
      </c>
      <c r="D4333" s="3" t="str">
        <f t="shared" si="569"/>
        <v>12Go Link</v>
      </c>
      <c r="E4333" s="2" t="s">
        <v>192</v>
      </c>
    </row>
    <row r="4334">
      <c r="A4334" s="2" t="s">
        <v>4319</v>
      </c>
      <c r="B4334" s="2" t="s">
        <v>4319</v>
      </c>
      <c r="C4334" s="2" t="s">
        <v>4511</v>
      </c>
      <c r="D4334" s="3" t="str">
        <f t="shared" si="569"/>
        <v>12Go Link</v>
      </c>
      <c r="E4334" s="2" t="s">
        <v>193</v>
      </c>
    </row>
    <row r="4335">
      <c r="A4335" s="2" t="s">
        <v>4319</v>
      </c>
      <c r="B4335" s="2" t="s">
        <v>4319</v>
      </c>
      <c r="C4335" s="2" t="s">
        <v>4512</v>
      </c>
      <c r="D4335" s="3" t="str">
        <f t="shared" ref="D4335:D4337" si="570">HYPERLINK("https://12go.asia/en/travel/Durban-International-Airport/Westville-Transfer", "12Go Link")</f>
        <v>12Go Link</v>
      </c>
      <c r="E4335" s="2" t="s">
        <v>191</v>
      </c>
    </row>
    <row r="4336">
      <c r="A4336" s="2" t="s">
        <v>4319</v>
      </c>
      <c r="B4336" s="2" t="s">
        <v>4319</v>
      </c>
      <c r="C4336" s="2" t="s">
        <v>4512</v>
      </c>
      <c r="D4336" s="3" t="str">
        <f t="shared" si="570"/>
        <v>12Go Link</v>
      </c>
      <c r="E4336" s="2" t="s">
        <v>192</v>
      </c>
    </row>
    <row r="4337">
      <c r="A4337" s="2" t="s">
        <v>4319</v>
      </c>
      <c r="B4337" s="2" t="s">
        <v>4319</v>
      </c>
      <c r="C4337" s="2" t="s">
        <v>4512</v>
      </c>
      <c r="D4337" s="3" t="str">
        <f t="shared" si="570"/>
        <v>12Go Link</v>
      </c>
      <c r="E4337" s="2" t="s">
        <v>193</v>
      </c>
    </row>
    <row r="4338">
      <c r="A4338" s="2" t="s">
        <v>4319</v>
      </c>
      <c r="B4338" s="2" t="s">
        <v>4319</v>
      </c>
      <c r="C4338" s="2" t="s">
        <v>4513</v>
      </c>
      <c r="D4338" s="3" t="str">
        <f t="shared" ref="D4338:D4340" si="571">HYPERLINK("https://12go.asia/en/travel/Durban-North-Transfer/Durban-International-Airport", "12Go Link")</f>
        <v>12Go Link</v>
      </c>
      <c r="E4338" s="2" t="s">
        <v>191</v>
      </c>
    </row>
    <row r="4339">
      <c r="A4339" s="2" t="s">
        <v>4319</v>
      </c>
      <c r="B4339" s="2" t="s">
        <v>4319</v>
      </c>
      <c r="C4339" s="2" t="s">
        <v>4513</v>
      </c>
      <c r="D4339" s="3" t="str">
        <f t="shared" si="571"/>
        <v>12Go Link</v>
      </c>
      <c r="E4339" s="2" t="s">
        <v>192</v>
      </c>
    </row>
    <row r="4340">
      <c r="A4340" s="2" t="s">
        <v>4319</v>
      </c>
      <c r="B4340" s="2" t="s">
        <v>4319</v>
      </c>
      <c r="C4340" s="2" t="s">
        <v>4513</v>
      </c>
      <c r="D4340" s="3" t="str">
        <f t="shared" si="571"/>
        <v>12Go Link</v>
      </c>
      <c r="E4340" s="2" t="s">
        <v>193</v>
      </c>
    </row>
    <row r="4341">
      <c r="A4341" s="2" t="s">
        <v>4319</v>
      </c>
      <c r="B4341" s="2" t="s">
        <v>4319</v>
      </c>
      <c r="C4341" s="2" t="s">
        <v>4514</v>
      </c>
      <c r="D4341" s="3" t="str">
        <f t="shared" ref="D4341:D4343" si="572">HYPERLINK("https://12go.asia/en/travel/Durban-Transfer/Durban-International-Airport", "12Go Link")</f>
        <v>12Go Link</v>
      </c>
      <c r="E4341" s="2" t="s">
        <v>191</v>
      </c>
    </row>
    <row r="4342">
      <c r="A4342" s="2" t="s">
        <v>4319</v>
      </c>
      <c r="B4342" s="2" t="s">
        <v>4319</v>
      </c>
      <c r="C4342" s="2" t="s">
        <v>4514</v>
      </c>
      <c r="D4342" s="3" t="str">
        <f t="shared" si="572"/>
        <v>12Go Link</v>
      </c>
      <c r="E4342" s="2" t="s">
        <v>192</v>
      </c>
    </row>
    <row r="4343">
      <c r="A4343" s="2" t="s">
        <v>4319</v>
      </c>
      <c r="B4343" s="2" t="s">
        <v>4319</v>
      </c>
      <c r="C4343" s="2" t="s">
        <v>4514</v>
      </c>
      <c r="D4343" s="3" t="str">
        <f t="shared" si="572"/>
        <v>12Go Link</v>
      </c>
      <c r="E4343" s="2" t="s">
        <v>193</v>
      </c>
    </row>
    <row r="4344">
      <c r="A4344" s="2" t="s">
        <v>4319</v>
      </c>
      <c r="B4344" s="2" t="s">
        <v>4319</v>
      </c>
      <c r="C4344" s="2" t="s">
        <v>4515</v>
      </c>
      <c r="D4344" s="3" t="str">
        <f t="shared" ref="D4344:D4346" si="573">HYPERLINK("https://12go.asia/en/travel/Greater-Durban-Metro-Transfer/Durban-International-Airport", "12Go Link")</f>
        <v>12Go Link</v>
      </c>
      <c r="E4344" s="2" t="s">
        <v>191</v>
      </c>
    </row>
    <row r="4345">
      <c r="A4345" s="2" t="s">
        <v>4319</v>
      </c>
      <c r="B4345" s="2" t="s">
        <v>4319</v>
      </c>
      <c r="C4345" s="2" t="s">
        <v>4515</v>
      </c>
      <c r="D4345" s="3" t="str">
        <f t="shared" si="573"/>
        <v>12Go Link</v>
      </c>
      <c r="E4345" s="2" t="s">
        <v>192</v>
      </c>
    </row>
    <row r="4346">
      <c r="A4346" s="2" t="s">
        <v>4319</v>
      </c>
      <c r="B4346" s="2" t="s">
        <v>4319</v>
      </c>
      <c r="C4346" s="2" t="s">
        <v>4515</v>
      </c>
      <c r="D4346" s="3" t="str">
        <f t="shared" si="573"/>
        <v>12Go Link</v>
      </c>
      <c r="E4346" s="2" t="s">
        <v>193</v>
      </c>
    </row>
    <row r="4347">
      <c r="A4347" s="2" t="s">
        <v>4319</v>
      </c>
      <c r="B4347" s="2" t="s">
        <v>4319</v>
      </c>
      <c r="C4347" s="2" t="s">
        <v>4516</v>
      </c>
      <c r="D4347" s="3" t="str">
        <f t="shared" ref="D4347:D4349" si="574">HYPERLINK("https://12go.asia/en/travel/Moses-Mabhida-Stadium-Transfer/Durban-International-Airport", "12Go Link")</f>
        <v>12Go Link</v>
      </c>
      <c r="E4347" s="2" t="s">
        <v>191</v>
      </c>
    </row>
    <row r="4348">
      <c r="A4348" s="2" t="s">
        <v>4319</v>
      </c>
      <c r="B4348" s="2" t="s">
        <v>4319</v>
      </c>
      <c r="C4348" s="2" t="s">
        <v>4516</v>
      </c>
      <c r="D4348" s="3" t="str">
        <f t="shared" si="574"/>
        <v>12Go Link</v>
      </c>
      <c r="E4348" s="2" t="s">
        <v>192</v>
      </c>
    </row>
    <row r="4349">
      <c r="A4349" s="2" t="s">
        <v>4319</v>
      </c>
      <c r="B4349" s="2" t="s">
        <v>4319</v>
      </c>
      <c r="C4349" s="2" t="s">
        <v>4516</v>
      </c>
      <c r="D4349" s="3" t="str">
        <f t="shared" si="574"/>
        <v>12Go Link</v>
      </c>
      <c r="E4349" s="2" t="s">
        <v>193</v>
      </c>
    </row>
    <row r="4350">
      <c r="A4350" s="2" t="s">
        <v>4319</v>
      </c>
      <c r="B4350" s="2" t="s">
        <v>4319</v>
      </c>
      <c r="C4350" s="2" t="s">
        <v>4517</v>
      </c>
      <c r="D4350" s="3" t="str">
        <f t="shared" ref="D4350:D4352" si="575">HYPERLINK("https://12go.asia/en/travel/North-Beach-Transfer/Durban-International-Airport", "12Go Link")</f>
        <v>12Go Link</v>
      </c>
      <c r="E4350" s="2" t="s">
        <v>191</v>
      </c>
    </row>
    <row r="4351">
      <c r="A4351" s="2" t="s">
        <v>4319</v>
      </c>
      <c r="B4351" s="2" t="s">
        <v>4319</v>
      </c>
      <c r="C4351" s="2" t="s">
        <v>4517</v>
      </c>
      <c r="D4351" s="3" t="str">
        <f t="shared" si="575"/>
        <v>12Go Link</v>
      </c>
      <c r="E4351" s="2" t="s">
        <v>192</v>
      </c>
    </row>
    <row r="4352">
      <c r="A4352" s="2" t="s">
        <v>4319</v>
      </c>
      <c r="B4352" s="2" t="s">
        <v>4319</v>
      </c>
      <c r="C4352" s="2" t="s">
        <v>4517</v>
      </c>
      <c r="D4352" s="3" t="str">
        <f t="shared" si="575"/>
        <v>12Go Link</v>
      </c>
      <c r="E4352" s="2" t="s">
        <v>193</v>
      </c>
    </row>
    <row r="4353">
      <c r="A4353" s="2" t="s">
        <v>4319</v>
      </c>
      <c r="B4353" s="2" t="s">
        <v>4319</v>
      </c>
      <c r="C4353" s="2" t="s">
        <v>4518</v>
      </c>
      <c r="D4353" s="3" t="str">
        <f t="shared" ref="D4353:D4355" si="576">HYPERLINK("https://12go.asia/en/travel/Umhlanga-Transfer/Durban-International-Airport", "12Go Link")</f>
        <v>12Go Link</v>
      </c>
      <c r="E4353" s="2" t="s">
        <v>191</v>
      </c>
    </row>
    <row r="4354">
      <c r="A4354" s="2" t="s">
        <v>4319</v>
      </c>
      <c r="B4354" s="2" t="s">
        <v>4319</v>
      </c>
      <c r="C4354" s="2" t="s">
        <v>4518</v>
      </c>
      <c r="D4354" s="3" t="str">
        <f t="shared" si="576"/>
        <v>12Go Link</v>
      </c>
      <c r="E4354" s="2" t="s">
        <v>192</v>
      </c>
    </row>
    <row r="4355">
      <c r="A4355" s="2" t="s">
        <v>4319</v>
      </c>
      <c r="B4355" s="2" t="s">
        <v>4319</v>
      </c>
      <c r="C4355" s="2" t="s">
        <v>4518</v>
      </c>
      <c r="D4355" s="3" t="str">
        <f t="shared" si="576"/>
        <v>12Go Link</v>
      </c>
      <c r="E4355" s="2" t="s">
        <v>193</v>
      </c>
    </row>
    <row r="4356">
      <c r="A4356" s="2" t="s">
        <v>4319</v>
      </c>
      <c r="B4356" s="2" t="s">
        <v>4319</v>
      </c>
      <c r="C4356" s="2" t="s">
        <v>4519</v>
      </c>
      <c r="D4356" s="3" t="str">
        <f t="shared" ref="D4356:D4358" si="577">HYPERLINK("https://12go.asia/en/travel/uShaka-Marine-World-Transfer/Durban-International-Airport", "12Go Link")</f>
        <v>12Go Link</v>
      </c>
      <c r="E4356" s="2" t="s">
        <v>191</v>
      </c>
    </row>
    <row r="4357">
      <c r="A4357" s="2" t="s">
        <v>4319</v>
      </c>
      <c r="B4357" s="2" t="s">
        <v>4319</v>
      </c>
      <c r="C4357" s="2" t="s">
        <v>4519</v>
      </c>
      <c r="D4357" s="3" t="str">
        <f t="shared" si="577"/>
        <v>12Go Link</v>
      </c>
      <c r="E4357" s="2" t="s">
        <v>192</v>
      </c>
    </row>
    <row r="4358">
      <c r="A4358" s="2" t="s">
        <v>4319</v>
      </c>
      <c r="B4358" s="2" t="s">
        <v>4319</v>
      </c>
      <c r="C4358" s="2" t="s">
        <v>4519</v>
      </c>
      <c r="D4358" s="3" t="str">
        <f t="shared" si="577"/>
        <v>12Go Link</v>
      </c>
      <c r="E4358" s="2" t="s">
        <v>193</v>
      </c>
    </row>
    <row r="4359">
      <c r="A4359" s="2" t="s">
        <v>4319</v>
      </c>
      <c r="B4359" s="2" t="s">
        <v>4319</v>
      </c>
      <c r="C4359" s="2" t="s">
        <v>4520</v>
      </c>
      <c r="D4359" s="3" t="str">
        <f t="shared" ref="D4359:D4361" si="578">HYPERLINK("https://12go.asia/en/travel/Westville-Transfer/Durban-International-Airport", "12Go Link")</f>
        <v>12Go Link</v>
      </c>
      <c r="E4359" s="2" t="s">
        <v>191</v>
      </c>
    </row>
    <row r="4360">
      <c r="A4360" s="2" t="s">
        <v>4319</v>
      </c>
      <c r="B4360" s="2" t="s">
        <v>4319</v>
      </c>
      <c r="C4360" s="2" t="s">
        <v>4520</v>
      </c>
      <c r="D4360" s="3" t="str">
        <f t="shared" si="578"/>
        <v>12Go Link</v>
      </c>
      <c r="E4360" s="2" t="s">
        <v>192</v>
      </c>
    </row>
    <row r="4361">
      <c r="A4361" s="2" t="s">
        <v>4319</v>
      </c>
      <c r="B4361" s="2" t="s">
        <v>4319</v>
      </c>
      <c r="C4361" s="2" t="s">
        <v>4520</v>
      </c>
      <c r="D4361" s="3" t="str">
        <f t="shared" si="578"/>
        <v>12Go Link</v>
      </c>
      <c r="E4361" s="2" t="s">
        <v>193</v>
      </c>
    </row>
    <row r="4362">
      <c r="A4362" s="2" t="s">
        <v>4319</v>
      </c>
      <c r="B4362" s="2" t="s">
        <v>4521</v>
      </c>
      <c r="C4362" s="2" t="s">
        <v>4522</v>
      </c>
      <c r="D4362" s="3" t="str">
        <f t="shared" ref="D4362:D4364" si="579">HYPERLINK("https://12go.asia/en/travel/Durban-International-Airport/Mngeni-River-Transfer", "12Go Link")</f>
        <v>12Go Link</v>
      </c>
      <c r="E4362" s="2" t="s">
        <v>191</v>
      </c>
    </row>
    <row r="4363">
      <c r="A4363" s="2" t="s">
        <v>4319</v>
      </c>
      <c r="B4363" s="2" t="s">
        <v>4521</v>
      </c>
      <c r="C4363" s="2" t="s">
        <v>4522</v>
      </c>
      <c r="D4363" s="3" t="str">
        <f t="shared" si="579"/>
        <v>12Go Link</v>
      </c>
      <c r="E4363" s="2" t="s">
        <v>192</v>
      </c>
    </row>
    <row r="4364">
      <c r="A4364" s="2" t="s">
        <v>4319</v>
      </c>
      <c r="B4364" s="2" t="s">
        <v>4521</v>
      </c>
      <c r="C4364" s="2" t="s">
        <v>4522</v>
      </c>
      <c r="D4364" s="3" t="str">
        <f t="shared" si="579"/>
        <v>12Go Link</v>
      </c>
      <c r="E4364" s="2" t="s">
        <v>193</v>
      </c>
    </row>
    <row r="4365">
      <c r="A4365" s="2" t="s">
        <v>4319</v>
      </c>
      <c r="B4365" s="2" t="s">
        <v>4307</v>
      </c>
      <c r="C4365" s="2" t="s">
        <v>4523</v>
      </c>
      <c r="D4365" s="3" t="str">
        <f t="shared" ref="D4365:D4367" si="580">HYPERLINK("https://12go.asia/en/travel/Marigold-Park-Transfer/Chief-Dawid-Stuurman-Intl-Airport", "12Go Link")</f>
        <v>12Go Link</v>
      </c>
      <c r="E4365" s="2" t="s">
        <v>191</v>
      </c>
    </row>
    <row r="4366">
      <c r="A4366" s="2" t="s">
        <v>4319</v>
      </c>
      <c r="B4366" s="2" t="s">
        <v>4307</v>
      </c>
      <c r="C4366" s="2" t="s">
        <v>4523</v>
      </c>
      <c r="D4366" s="3" t="str">
        <f t="shared" si="580"/>
        <v>12Go Link</v>
      </c>
      <c r="E4366" s="2" t="s">
        <v>192</v>
      </c>
    </row>
    <row r="4367">
      <c r="A4367" s="2" t="s">
        <v>4319</v>
      </c>
      <c r="B4367" s="2" t="s">
        <v>4307</v>
      </c>
      <c r="C4367" s="2" t="s">
        <v>4523</v>
      </c>
      <c r="D4367" s="3" t="str">
        <f t="shared" si="580"/>
        <v>12Go Link</v>
      </c>
      <c r="E4367" s="2" t="s">
        <v>193</v>
      </c>
    </row>
    <row r="4368">
      <c r="A4368" s="2" t="s">
        <v>4319</v>
      </c>
      <c r="B4368" s="2" t="s">
        <v>4524</v>
      </c>
      <c r="C4368" s="2" t="s">
        <v>4525</v>
      </c>
      <c r="D4368" s="3" t="str">
        <f t="shared" ref="D4368:D4370" si="581">HYPERLINK("https://12go.asia/en/travel/Durban-International-Airport/Battlefields-Transfer", "12Go Link")</f>
        <v>12Go Link</v>
      </c>
      <c r="E4368" s="2" t="s">
        <v>191</v>
      </c>
    </row>
    <row r="4369">
      <c r="A4369" s="2" t="s">
        <v>4319</v>
      </c>
      <c r="B4369" s="2" t="s">
        <v>4524</v>
      </c>
      <c r="C4369" s="2" t="s">
        <v>4525</v>
      </c>
      <c r="D4369" s="3" t="str">
        <f t="shared" si="581"/>
        <v>12Go Link</v>
      </c>
      <c r="E4369" s="2" t="s">
        <v>192</v>
      </c>
    </row>
    <row r="4370">
      <c r="A4370" s="2" t="s">
        <v>4319</v>
      </c>
      <c r="B4370" s="2" t="s">
        <v>4524</v>
      </c>
      <c r="C4370" s="2" t="s">
        <v>4525</v>
      </c>
      <c r="D4370" s="3" t="str">
        <f t="shared" si="581"/>
        <v>12Go Link</v>
      </c>
      <c r="E4370" s="2" t="s">
        <v>193</v>
      </c>
    </row>
    <row r="4371">
      <c r="A4371" s="2" t="s">
        <v>4319</v>
      </c>
      <c r="B4371" s="2" t="s">
        <v>4526</v>
      </c>
      <c r="C4371" s="2" t="s">
        <v>4527</v>
      </c>
      <c r="D4371" s="3" t="str">
        <f t="shared" ref="D4371:D4373" si="582">HYPERLINK("https://12go.asia/en/travel/Durban-International-Airport/Hluhluwe-iMfolozi-Park-Transfer", "12Go Link")</f>
        <v>12Go Link</v>
      </c>
      <c r="E4371" s="2" t="s">
        <v>191</v>
      </c>
    </row>
    <row r="4372">
      <c r="A4372" s="2" t="s">
        <v>4319</v>
      </c>
      <c r="B4372" s="2" t="s">
        <v>4526</v>
      </c>
      <c r="C4372" s="2" t="s">
        <v>4527</v>
      </c>
      <c r="D4372" s="3" t="str">
        <f t="shared" si="582"/>
        <v>12Go Link</v>
      </c>
      <c r="E4372" s="2" t="s">
        <v>192</v>
      </c>
    </row>
    <row r="4373">
      <c r="A4373" s="2" t="s">
        <v>4319</v>
      </c>
      <c r="B4373" s="2" t="s">
        <v>4526</v>
      </c>
      <c r="C4373" s="2" t="s">
        <v>4527</v>
      </c>
      <c r="D4373" s="3" t="str">
        <f t="shared" si="582"/>
        <v>12Go Link</v>
      </c>
      <c r="E4373" s="2" t="s">
        <v>193</v>
      </c>
    </row>
    <row r="4374">
      <c r="A4374" s="2" t="s">
        <v>4319</v>
      </c>
      <c r="B4374" s="2" t="s">
        <v>4528</v>
      </c>
      <c r="C4374" s="2" t="s">
        <v>4529</v>
      </c>
      <c r="D4374" s="3" t="str">
        <f t="shared" ref="D4374:D4376" si="583">HYPERLINK("https://12go.asia/en/travel/Durban-International-Airport/iSimangaliso-Wetland-Park-Transfer", "12Go Link")</f>
        <v>12Go Link</v>
      </c>
      <c r="E4374" s="2" t="s">
        <v>191</v>
      </c>
    </row>
    <row r="4375">
      <c r="A4375" s="2" t="s">
        <v>4319</v>
      </c>
      <c r="B4375" s="2" t="s">
        <v>4528</v>
      </c>
      <c r="C4375" s="2" t="s">
        <v>4529</v>
      </c>
      <c r="D4375" s="3" t="str">
        <f t="shared" si="583"/>
        <v>12Go Link</v>
      </c>
      <c r="E4375" s="2" t="s">
        <v>192</v>
      </c>
    </row>
    <row r="4376">
      <c r="A4376" s="2" t="s">
        <v>4319</v>
      </c>
      <c r="B4376" s="2" t="s">
        <v>4528</v>
      </c>
      <c r="C4376" s="2" t="s">
        <v>4529</v>
      </c>
      <c r="D4376" s="3" t="str">
        <f t="shared" si="583"/>
        <v>12Go Link</v>
      </c>
      <c r="E4376" s="2" t="s">
        <v>193</v>
      </c>
    </row>
    <row r="4377">
      <c r="A4377" s="2" t="s">
        <v>4319</v>
      </c>
      <c r="B4377" s="2" t="s">
        <v>4310</v>
      </c>
      <c r="C4377" s="2" t="s">
        <v>4530</v>
      </c>
      <c r="D4377" s="3" t="str">
        <f t="shared" ref="D4377:D4379" si="584">HYPERLINK("https://12go.asia/en/travel/Durban-International-Airport/Morningside-Transfer", "12Go Link")</f>
        <v>12Go Link</v>
      </c>
      <c r="E4377" s="2" t="s">
        <v>191</v>
      </c>
    </row>
    <row r="4378">
      <c r="A4378" s="2" t="s">
        <v>4319</v>
      </c>
      <c r="B4378" s="2" t="s">
        <v>4310</v>
      </c>
      <c r="C4378" s="2" t="s">
        <v>4530</v>
      </c>
      <c r="D4378" s="3" t="str">
        <f t="shared" si="584"/>
        <v>12Go Link</v>
      </c>
      <c r="E4378" s="2" t="s">
        <v>192</v>
      </c>
    </row>
    <row r="4379">
      <c r="A4379" s="2" t="s">
        <v>4319</v>
      </c>
      <c r="B4379" s="2" t="s">
        <v>4310</v>
      </c>
      <c r="C4379" s="2" t="s">
        <v>4530</v>
      </c>
      <c r="D4379" s="3" t="str">
        <f t="shared" si="584"/>
        <v>12Go Link</v>
      </c>
      <c r="E4379" s="2" t="s">
        <v>193</v>
      </c>
    </row>
    <row r="4380">
      <c r="A4380" s="2" t="s">
        <v>4319</v>
      </c>
      <c r="B4380" s="2" t="s">
        <v>4531</v>
      </c>
      <c r="C4380" s="2" t="s">
        <v>4532</v>
      </c>
      <c r="D4380" s="3" t="str">
        <f t="shared" ref="D4380:D4382" si="585">HYPERLINK("https://12go.asia/en/travel/Durban-International-Airport/KwaMashu-Transfer", "12Go Link")</f>
        <v>12Go Link</v>
      </c>
      <c r="E4380" s="2" t="s">
        <v>191</v>
      </c>
    </row>
    <row r="4381">
      <c r="A4381" s="2" t="s">
        <v>4319</v>
      </c>
      <c r="B4381" s="2" t="s">
        <v>4531</v>
      </c>
      <c r="C4381" s="2" t="s">
        <v>4532</v>
      </c>
      <c r="D4381" s="3" t="str">
        <f t="shared" si="585"/>
        <v>12Go Link</v>
      </c>
      <c r="E4381" s="2" t="s">
        <v>192</v>
      </c>
    </row>
    <row r="4382">
      <c r="A4382" s="2" t="s">
        <v>4319</v>
      </c>
      <c r="B4382" s="2" t="s">
        <v>4531</v>
      </c>
      <c r="C4382" s="2" t="s">
        <v>4532</v>
      </c>
      <c r="D4382" s="3" t="str">
        <f t="shared" si="585"/>
        <v>12Go Link</v>
      </c>
      <c r="E4382" s="2" t="s">
        <v>193</v>
      </c>
    </row>
    <row r="4383">
      <c r="A4383" s="2" t="s">
        <v>4319</v>
      </c>
      <c r="B4383" s="2" t="s">
        <v>4533</v>
      </c>
      <c r="C4383" s="2" t="s">
        <v>4534</v>
      </c>
      <c r="D4383" s="3" t="str">
        <f t="shared" ref="D4383:D4385" si="586">HYPERLINK("https://12go.asia/en/travel/Durban-International-Airport/Ukhahlamba-Drakensberg-Park-Transfer", "12Go Link")</f>
        <v>12Go Link</v>
      </c>
      <c r="E4383" s="2" t="s">
        <v>191</v>
      </c>
    </row>
    <row r="4384">
      <c r="A4384" s="2" t="s">
        <v>4319</v>
      </c>
      <c r="B4384" s="2" t="s">
        <v>4533</v>
      </c>
      <c r="C4384" s="2" t="s">
        <v>4534</v>
      </c>
      <c r="D4384" s="3" t="str">
        <f t="shared" si="586"/>
        <v>12Go Link</v>
      </c>
      <c r="E4384" s="2" t="s">
        <v>192</v>
      </c>
    </row>
    <row r="4385">
      <c r="A4385" s="2" t="s">
        <v>4319</v>
      </c>
      <c r="B4385" s="2" t="s">
        <v>4533</v>
      </c>
      <c r="C4385" s="2" t="s">
        <v>4534</v>
      </c>
      <c r="D4385" s="3" t="str">
        <f t="shared" si="586"/>
        <v>12Go Link</v>
      </c>
      <c r="E4385" s="2" t="s">
        <v>193</v>
      </c>
    </row>
    <row r="4386">
      <c r="A4386" s="2" t="s">
        <v>4319</v>
      </c>
      <c r="B4386" s="2" t="s">
        <v>4535</v>
      </c>
      <c r="C4386" s="2" t="s">
        <v>4536</v>
      </c>
      <c r="D4386" s="3" t="str">
        <f t="shared" ref="D4386:D4388" si="587">HYPERLINK("https://12go.asia/en/travel/Durban-International-Airport/Oribi-Gorge-Nature-Reserve-Transfer", "12Go Link")</f>
        <v>12Go Link</v>
      </c>
      <c r="E4386" s="2" t="s">
        <v>191</v>
      </c>
    </row>
    <row r="4387">
      <c r="A4387" s="2" t="s">
        <v>4319</v>
      </c>
      <c r="B4387" s="2" t="s">
        <v>4535</v>
      </c>
      <c r="C4387" s="2" t="s">
        <v>4536</v>
      </c>
      <c r="D4387" s="3" t="str">
        <f t="shared" si="587"/>
        <v>12Go Link</v>
      </c>
      <c r="E4387" s="2" t="s">
        <v>192</v>
      </c>
    </row>
    <row r="4388">
      <c r="A4388" s="2" t="s">
        <v>4319</v>
      </c>
      <c r="B4388" s="2" t="s">
        <v>4535</v>
      </c>
      <c r="C4388" s="2" t="s">
        <v>4536</v>
      </c>
      <c r="D4388" s="3" t="str">
        <f t="shared" si="587"/>
        <v>12Go Link</v>
      </c>
      <c r="E4388" s="2" t="s">
        <v>193</v>
      </c>
    </row>
    <row r="4389">
      <c r="A4389" s="2" t="s">
        <v>4319</v>
      </c>
      <c r="B4389" s="2" t="s">
        <v>4537</v>
      </c>
      <c r="C4389" s="2" t="s">
        <v>4538</v>
      </c>
      <c r="D4389" s="3" t="str">
        <f t="shared" ref="D4389:D4391" si="588">HYPERLINK("https://12go.asia/en/travel/Durban-International-Airport/Glenwood-Transfer", "12Go Link")</f>
        <v>12Go Link</v>
      </c>
      <c r="E4389" s="2" t="s">
        <v>191</v>
      </c>
    </row>
    <row r="4390">
      <c r="A4390" s="2" t="s">
        <v>4319</v>
      </c>
      <c r="B4390" s="2" t="s">
        <v>4537</v>
      </c>
      <c r="C4390" s="2" t="s">
        <v>4538</v>
      </c>
      <c r="D4390" s="3" t="str">
        <f t="shared" si="588"/>
        <v>12Go Link</v>
      </c>
      <c r="E4390" s="2" t="s">
        <v>192</v>
      </c>
    </row>
    <row r="4391">
      <c r="A4391" s="2" t="s">
        <v>4319</v>
      </c>
      <c r="B4391" s="2" t="s">
        <v>4537</v>
      </c>
      <c r="C4391" s="2" t="s">
        <v>4538</v>
      </c>
      <c r="D4391" s="3" t="str">
        <f t="shared" si="588"/>
        <v>12Go Link</v>
      </c>
      <c r="E4391" s="2" t="s">
        <v>193</v>
      </c>
    </row>
    <row r="4392">
      <c r="A4392" s="2" t="s">
        <v>4319</v>
      </c>
      <c r="B4392" s="2" t="s">
        <v>4537</v>
      </c>
      <c r="C4392" s="2" t="s">
        <v>4539</v>
      </c>
      <c r="D4392" s="3" t="str">
        <f t="shared" ref="D4392:D4394" si="589">HYPERLINK("https://12go.asia/en/travel/Durban-International-Airport/Natal-Milands-Transfer", "12Go Link")</f>
        <v>12Go Link</v>
      </c>
      <c r="E4392" s="2" t="s">
        <v>191</v>
      </c>
    </row>
    <row r="4393">
      <c r="A4393" s="2" t="s">
        <v>4319</v>
      </c>
      <c r="B4393" s="2" t="s">
        <v>4537</v>
      </c>
      <c r="C4393" s="2" t="s">
        <v>4539</v>
      </c>
      <c r="D4393" s="3" t="str">
        <f t="shared" si="589"/>
        <v>12Go Link</v>
      </c>
      <c r="E4393" s="2" t="s">
        <v>192</v>
      </c>
    </row>
    <row r="4394">
      <c r="A4394" s="2" t="s">
        <v>4319</v>
      </c>
      <c r="B4394" s="2" t="s">
        <v>4537</v>
      </c>
      <c r="C4394" s="2" t="s">
        <v>4539</v>
      </c>
      <c r="D4394" s="3" t="str">
        <f t="shared" si="589"/>
        <v>12Go Link</v>
      </c>
      <c r="E4394" s="2" t="s">
        <v>193</v>
      </c>
    </row>
    <row r="4395">
      <c r="A4395" s="2" t="s">
        <v>4319</v>
      </c>
      <c r="B4395" s="2" t="s">
        <v>4537</v>
      </c>
      <c r="C4395" s="2" t="s">
        <v>4540</v>
      </c>
      <c r="D4395" s="3" t="str">
        <f t="shared" ref="D4395:D4397" si="590">HYPERLINK("https://12go.asia/en/travel/Durban-International-Airport/Pietermaritzburg-Botanical-Gardens-Transfer", "12Go Link")</f>
        <v>12Go Link</v>
      </c>
      <c r="E4395" s="2" t="s">
        <v>191</v>
      </c>
    </row>
    <row r="4396">
      <c r="A4396" s="2" t="s">
        <v>4319</v>
      </c>
      <c r="B4396" s="2" t="s">
        <v>4537</v>
      </c>
      <c r="C4396" s="2" t="s">
        <v>4540</v>
      </c>
      <c r="D4396" s="3" t="str">
        <f t="shared" si="590"/>
        <v>12Go Link</v>
      </c>
      <c r="E4396" s="2" t="s">
        <v>192</v>
      </c>
    </row>
    <row r="4397">
      <c r="A4397" s="2" t="s">
        <v>4319</v>
      </c>
      <c r="B4397" s="2" t="s">
        <v>4537</v>
      </c>
      <c r="C4397" s="2" t="s">
        <v>4540</v>
      </c>
      <c r="D4397" s="3" t="str">
        <f t="shared" si="590"/>
        <v>12Go Link</v>
      </c>
      <c r="E4397" s="2" t="s">
        <v>193</v>
      </c>
    </row>
    <row r="4398">
      <c r="A4398" s="2" t="s">
        <v>4319</v>
      </c>
      <c r="B4398" s="2" t="s">
        <v>4537</v>
      </c>
      <c r="C4398" s="2" t="s">
        <v>4541</v>
      </c>
      <c r="D4398" s="3" t="str">
        <f t="shared" ref="D4398:D4400" si="591">HYPERLINK("https://12go.asia/en/travel/Durban-International-Airport/Pietermaritzburg-Transfer", "12Go Link")</f>
        <v>12Go Link</v>
      </c>
      <c r="E4398" s="2" t="s">
        <v>191</v>
      </c>
    </row>
    <row r="4399">
      <c r="A4399" s="2" t="s">
        <v>4319</v>
      </c>
      <c r="B4399" s="2" t="s">
        <v>4537</v>
      </c>
      <c r="C4399" s="2" t="s">
        <v>4541</v>
      </c>
      <c r="D4399" s="3" t="str">
        <f t="shared" si="591"/>
        <v>12Go Link</v>
      </c>
      <c r="E4399" s="2" t="s">
        <v>192</v>
      </c>
    </row>
    <row r="4400">
      <c r="A4400" s="2" t="s">
        <v>4319</v>
      </c>
      <c r="B4400" s="2" t="s">
        <v>4537</v>
      </c>
      <c r="C4400" s="2" t="s">
        <v>4541</v>
      </c>
      <c r="D4400" s="3" t="str">
        <f t="shared" si="591"/>
        <v>12Go Link</v>
      </c>
      <c r="E4400" s="2" t="s">
        <v>193</v>
      </c>
    </row>
    <row r="4401">
      <c r="A4401" s="2" t="s">
        <v>4319</v>
      </c>
      <c r="B4401" s="2" t="s">
        <v>4542</v>
      </c>
      <c r="C4401" s="2" t="s">
        <v>4543</v>
      </c>
      <c r="D4401" s="3" t="str">
        <f t="shared" ref="D4401:D4403" si="592">HYPERLINK("https://12go.asia/en/travel/Durban-International-Airport/Pine-Town-Transfer", "12Go Link")</f>
        <v>12Go Link</v>
      </c>
      <c r="E4401" s="2" t="s">
        <v>191</v>
      </c>
    </row>
    <row r="4402">
      <c r="A4402" s="2" t="s">
        <v>4319</v>
      </c>
      <c r="B4402" s="2" t="s">
        <v>4542</v>
      </c>
      <c r="C4402" s="2" t="s">
        <v>4543</v>
      </c>
      <c r="D4402" s="3" t="str">
        <f t="shared" si="592"/>
        <v>12Go Link</v>
      </c>
      <c r="E4402" s="2" t="s">
        <v>192</v>
      </c>
    </row>
    <row r="4403">
      <c r="A4403" s="2" t="s">
        <v>4319</v>
      </c>
      <c r="B4403" s="2" t="s">
        <v>4542</v>
      </c>
      <c r="C4403" s="2" t="s">
        <v>4543</v>
      </c>
      <c r="D4403" s="3" t="str">
        <f t="shared" si="592"/>
        <v>12Go Link</v>
      </c>
      <c r="E4403" s="2" t="s">
        <v>193</v>
      </c>
    </row>
    <row r="4404">
      <c r="A4404" s="2" t="s">
        <v>4319</v>
      </c>
      <c r="B4404" s="2" t="s">
        <v>4544</v>
      </c>
      <c r="C4404" s="2" t="s">
        <v>4545</v>
      </c>
      <c r="D4404" s="3" t="str">
        <f t="shared" ref="D4404:D4406" si="593">HYPERLINK("https://12go.asia/en/travel/Durban-International-Airport/Richards-Bay-Transfer", "12Go Link")</f>
        <v>12Go Link</v>
      </c>
      <c r="E4404" s="2" t="s">
        <v>191</v>
      </c>
    </row>
    <row r="4405">
      <c r="A4405" s="2" t="s">
        <v>4319</v>
      </c>
      <c r="B4405" s="2" t="s">
        <v>4544</v>
      </c>
      <c r="C4405" s="2" t="s">
        <v>4545</v>
      </c>
      <c r="D4405" s="3" t="str">
        <f t="shared" si="593"/>
        <v>12Go Link</v>
      </c>
      <c r="E4405" s="2" t="s">
        <v>192</v>
      </c>
    </row>
    <row r="4406">
      <c r="A4406" s="2" t="s">
        <v>4319</v>
      </c>
      <c r="B4406" s="2" t="s">
        <v>4544</v>
      </c>
      <c r="C4406" s="2" t="s">
        <v>4545</v>
      </c>
      <c r="D4406" s="3" t="str">
        <f t="shared" si="593"/>
        <v>12Go Link</v>
      </c>
      <c r="E4406" s="2" t="s">
        <v>193</v>
      </c>
    </row>
    <row r="4407">
      <c r="A4407" s="2" t="s">
        <v>4319</v>
      </c>
      <c r="B4407" s="2" t="s">
        <v>4546</v>
      </c>
      <c r="C4407" s="2" t="s">
        <v>4547</v>
      </c>
      <c r="D4407" s="3" t="str">
        <f t="shared" ref="D4407:D4409" si="594">HYPERLINK("https://12go.asia/en/travel/Durban-International-Airport/South-Coast-Transfer", "12Go Link")</f>
        <v>12Go Link</v>
      </c>
      <c r="E4407" s="2" t="s">
        <v>191</v>
      </c>
    </row>
    <row r="4408">
      <c r="A4408" s="2" t="s">
        <v>4319</v>
      </c>
      <c r="B4408" s="2" t="s">
        <v>4546</v>
      </c>
      <c r="C4408" s="2" t="s">
        <v>4547</v>
      </c>
      <c r="D4408" s="3" t="str">
        <f t="shared" si="594"/>
        <v>12Go Link</v>
      </c>
      <c r="E4408" s="2" t="s">
        <v>192</v>
      </c>
    </row>
    <row r="4409">
      <c r="A4409" s="2" t="s">
        <v>4319</v>
      </c>
      <c r="B4409" s="2" t="s">
        <v>4546</v>
      </c>
      <c r="C4409" s="2" t="s">
        <v>4547</v>
      </c>
      <c r="D4409" s="3" t="str">
        <f t="shared" si="594"/>
        <v>12Go Link</v>
      </c>
      <c r="E4409" s="2" t="s">
        <v>193</v>
      </c>
    </row>
    <row r="4410">
      <c r="A4410" s="2" t="s">
        <v>4319</v>
      </c>
      <c r="B4410" s="2" t="s">
        <v>4548</v>
      </c>
      <c r="C4410" s="2" t="s">
        <v>4549</v>
      </c>
      <c r="D4410" s="3" t="str">
        <f t="shared" ref="D4410:D4412" si="595">HYPERLINK("https://12go.asia/en/travel/Durban-International-Airport/Sodwana-Bay-National-Park-Transfer", "12Go Link")</f>
        <v>12Go Link</v>
      </c>
      <c r="E4410" s="2" t="s">
        <v>191</v>
      </c>
    </row>
    <row r="4411">
      <c r="A4411" s="2" t="s">
        <v>4319</v>
      </c>
      <c r="B4411" s="2" t="s">
        <v>4548</v>
      </c>
      <c r="C4411" s="2" t="s">
        <v>4549</v>
      </c>
      <c r="D4411" s="3" t="str">
        <f t="shared" si="595"/>
        <v>12Go Link</v>
      </c>
      <c r="E4411" s="2" t="s">
        <v>192</v>
      </c>
    </row>
    <row r="4412">
      <c r="A4412" s="2" t="s">
        <v>4319</v>
      </c>
      <c r="B4412" s="2" t="s">
        <v>4548</v>
      </c>
      <c r="C4412" s="2" t="s">
        <v>4549</v>
      </c>
      <c r="D4412" s="3" t="str">
        <f t="shared" si="595"/>
        <v>12Go Link</v>
      </c>
      <c r="E4412" s="2" t="s">
        <v>193</v>
      </c>
    </row>
    <row r="4413">
      <c r="A4413" s="2" t="s">
        <v>4319</v>
      </c>
      <c r="B4413" s="2" t="s">
        <v>4550</v>
      </c>
      <c r="C4413" s="2" t="s">
        <v>4551</v>
      </c>
      <c r="D4413" s="3" t="str">
        <f t="shared" ref="D4413:D4415" si="596">HYPERLINK("https://12go.asia/en/travel/Durban-International-Airport/Elephant-Coast-Transfer", "12Go Link")</f>
        <v>12Go Link</v>
      </c>
      <c r="E4413" s="2" t="s">
        <v>191</v>
      </c>
    </row>
    <row r="4414">
      <c r="A4414" s="2" t="s">
        <v>4319</v>
      </c>
      <c r="B4414" s="2" t="s">
        <v>4550</v>
      </c>
      <c r="C4414" s="2" t="s">
        <v>4551</v>
      </c>
      <c r="D4414" s="3" t="str">
        <f t="shared" si="596"/>
        <v>12Go Link</v>
      </c>
      <c r="E4414" s="2" t="s">
        <v>192</v>
      </c>
    </row>
    <row r="4415">
      <c r="A4415" s="2" t="s">
        <v>4319</v>
      </c>
      <c r="B4415" s="2" t="s">
        <v>4550</v>
      </c>
      <c r="C4415" s="2" t="s">
        <v>4551</v>
      </c>
      <c r="D4415" s="3" t="str">
        <f t="shared" si="596"/>
        <v>12Go Link</v>
      </c>
      <c r="E4415" s="2" t="s">
        <v>193</v>
      </c>
    </row>
    <row r="4416">
      <c r="A4416" s="2" t="s">
        <v>4319</v>
      </c>
      <c r="B4416" s="2" t="s">
        <v>4550</v>
      </c>
      <c r="C4416" s="2" t="s">
        <v>4552</v>
      </c>
      <c r="D4416" s="3" t="str">
        <f t="shared" ref="D4416:D4418" si="597">HYPERLINK("https://12go.asia/en/travel/Durban-International-Airport/St-Lucia-Transfer", "12Go Link")</f>
        <v>12Go Link</v>
      </c>
      <c r="E4416" s="2" t="s">
        <v>191</v>
      </c>
    </row>
    <row r="4417">
      <c r="A4417" s="2" t="s">
        <v>4319</v>
      </c>
      <c r="B4417" s="2" t="s">
        <v>4550</v>
      </c>
      <c r="C4417" s="2" t="s">
        <v>4552</v>
      </c>
      <c r="D4417" s="3" t="str">
        <f t="shared" si="597"/>
        <v>12Go Link</v>
      </c>
      <c r="E4417" s="2" t="s">
        <v>192</v>
      </c>
    </row>
    <row r="4418">
      <c r="A4418" s="2" t="s">
        <v>4319</v>
      </c>
      <c r="B4418" s="2" t="s">
        <v>4550</v>
      </c>
      <c r="C4418" s="2" t="s">
        <v>4552</v>
      </c>
      <c r="D4418" s="3" t="str">
        <f t="shared" si="597"/>
        <v>12Go Link</v>
      </c>
      <c r="E4418" s="2" t="s">
        <v>193</v>
      </c>
    </row>
    <row r="4419">
      <c r="A4419" s="2" t="s">
        <v>4319</v>
      </c>
      <c r="B4419" s="2" t="s">
        <v>4553</v>
      </c>
      <c r="C4419" s="2" t="s">
        <v>4554</v>
      </c>
      <c r="D4419" s="3" t="str">
        <f t="shared" ref="D4419:D4421" si="598">HYPERLINK("https://12go.asia/en/travel/Durban-International-Airport/Midlands-Meander-Transfer", "12Go Link")</f>
        <v>12Go Link</v>
      </c>
      <c r="E4419" s="2" t="s">
        <v>191</v>
      </c>
    </row>
    <row r="4420">
      <c r="A4420" s="2" t="s">
        <v>4319</v>
      </c>
      <c r="B4420" s="2" t="s">
        <v>4553</v>
      </c>
      <c r="C4420" s="2" t="s">
        <v>4554</v>
      </c>
      <c r="D4420" s="3" t="str">
        <f t="shared" si="598"/>
        <v>12Go Link</v>
      </c>
      <c r="E4420" s="2" t="s">
        <v>192</v>
      </c>
    </row>
    <row r="4421">
      <c r="A4421" s="2" t="s">
        <v>4319</v>
      </c>
      <c r="B4421" s="2" t="s">
        <v>4553</v>
      </c>
      <c r="C4421" s="2" t="s">
        <v>4554</v>
      </c>
      <c r="D4421" s="3" t="str">
        <f t="shared" si="598"/>
        <v>12Go Link</v>
      </c>
      <c r="E4421" s="2" t="s">
        <v>193</v>
      </c>
    </row>
    <row r="4422">
      <c r="A4422" s="2" t="s">
        <v>4319</v>
      </c>
      <c r="B4422" s="2" t="s">
        <v>4555</v>
      </c>
      <c r="C4422" s="2" t="s">
        <v>4556</v>
      </c>
      <c r="D4422" s="3" t="str">
        <f t="shared" ref="D4422:D4424" si="599">HYPERLINK("https://12go.asia/en/travel/Durban-International-Airport/Umhlanga-Rocks-Transfer", "12Go Link")</f>
        <v>12Go Link</v>
      </c>
      <c r="E4422" s="2" t="s">
        <v>191</v>
      </c>
    </row>
    <row r="4423">
      <c r="A4423" s="2" t="s">
        <v>4319</v>
      </c>
      <c r="B4423" s="2" t="s">
        <v>4555</v>
      </c>
      <c r="C4423" s="2" t="s">
        <v>4556</v>
      </c>
      <c r="D4423" s="3" t="str">
        <f t="shared" si="599"/>
        <v>12Go Link</v>
      </c>
      <c r="E4423" s="2" t="s">
        <v>192</v>
      </c>
    </row>
    <row r="4424">
      <c r="A4424" s="2" t="s">
        <v>4319</v>
      </c>
      <c r="B4424" s="2" t="s">
        <v>4555</v>
      </c>
      <c r="C4424" s="2" t="s">
        <v>4556</v>
      </c>
      <c r="D4424" s="3" t="str">
        <f t="shared" si="599"/>
        <v>12Go Link</v>
      </c>
      <c r="E4424" s="2" t="s">
        <v>193</v>
      </c>
    </row>
    <row r="4425">
      <c r="A4425" s="2" t="s">
        <v>4319</v>
      </c>
      <c r="B4425" s="2" t="s">
        <v>4557</v>
      </c>
      <c r="C4425" s="2" t="s">
        <v>4558</v>
      </c>
      <c r="D4425" s="3" t="str">
        <f t="shared" ref="D4425:D4427" si="600">HYPERLINK("https://12go.asia/en/travel/Durban-International-Airport/Westbrook-Transfer", "12Go Link")</f>
        <v>12Go Link</v>
      </c>
      <c r="E4425" s="2" t="s">
        <v>191</v>
      </c>
    </row>
    <row r="4426">
      <c r="A4426" s="2" t="s">
        <v>4319</v>
      </c>
      <c r="B4426" s="2" t="s">
        <v>4557</v>
      </c>
      <c r="C4426" s="2" t="s">
        <v>4558</v>
      </c>
      <c r="D4426" s="3" t="str">
        <f t="shared" si="600"/>
        <v>12Go Link</v>
      </c>
      <c r="E4426" s="2" t="s">
        <v>192</v>
      </c>
    </row>
    <row r="4427">
      <c r="A4427" s="2" t="s">
        <v>4319</v>
      </c>
      <c r="B4427" s="2" t="s">
        <v>4557</v>
      </c>
      <c r="C4427" s="2" t="s">
        <v>4558</v>
      </c>
      <c r="D4427" s="3" t="str">
        <f t="shared" si="600"/>
        <v>12Go Link</v>
      </c>
      <c r="E4427" s="2" t="s">
        <v>193</v>
      </c>
    </row>
    <row r="4428">
      <c r="A4428" s="2" t="s">
        <v>4559</v>
      </c>
      <c r="B4428" s="2" t="s">
        <v>4310</v>
      </c>
      <c r="C4428" s="2" t="s">
        <v>4560</v>
      </c>
      <c r="D4428" s="3" t="str">
        <f t="shared" ref="D4428:D4430" si="601">HYPERLINK("https://12go.asia/en/travel/eMakhazeni-Transfer/OR-Tambo-International-Airport", "12Go Link")</f>
        <v>12Go Link</v>
      </c>
      <c r="E4428" s="2" t="s">
        <v>191</v>
      </c>
    </row>
    <row r="4429">
      <c r="A4429" s="2" t="s">
        <v>4559</v>
      </c>
      <c r="B4429" s="2" t="s">
        <v>4310</v>
      </c>
      <c r="C4429" s="2" t="s">
        <v>4560</v>
      </c>
      <c r="D4429" s="3" t="str">
        <f t="shared" si="601"/>
        <v>12Go Link</v>
      </c>
      <c r="E4429" s="2" t="s">
        <v>192</v>
      </c>
    </row>
    <row r="4430">
      <c r="A4430" s="2" t="s">
        <v>4559</v>
      </c>
      <c r="B4430" s="2" t="s">
        <v>4310</v>
      </c>
      <c r="C4430" s="2" t="s">
        <v>4560</v>
      </c>
      <c r="D4430" s="3" t="str">
        <f t="shared" si="601"/>
        <v>12Go Link</v>
      </c>
      <c r="E4430" s="2" t="s">
        <v>193</v>
      </c>
    </row>
    <row r="4431">
      <c r="A4431" s="2" t="s">
        <v>4561</v>
      </c>
      <c r="B4431" s="2" t="s">
        <v>4310</v>
      </c>
      <c r="C4431" s="2" t="s">
        <v>4562</v>
      </c>
      <c r="D4431" s="3" t="str">
        <f t="shared" ref="D4431:D4433" si="602">HYPERLINK("https://12go.asia/en/travel/eMalahleni-Transfer/OR-Tambo-International-Airport", "12Go Link")</f>
        <v>12Go Link</v>
      </c>
      <c r="E4431" s="2" t="s">
        <v>191</v>
      </c>
    </row>
    <row r="4432">
      <c r="A4432" s="2" t="s">
        <v>4561</v>
      </c>
      <c r="B4432" s="2" t="s">
        <v>4310</v>
      </c>
      <c r="C4432" s="2" t="s">
        <v>4562</v>
      </c>
      <c r="D4432" s="3" t="str">
        <f t="shared" si="602"/>
        <v>12Go Link</v>
      </c>
      <c r="E4432" s="2" t="s">
        <v>192</v>
      </c>
    </row>
    <row r="4433">
      <c r="A4433" s="2" t="s">
        <v>4561</v>
      </c>
      <c r="B4433" s="2" t="s">
        <v>4310</v>
      </c>
      <c r="C4433" s="2" t="s">
        <v>4562</v>
      </c>
      <c r="D4433" s="3" t="str">
        <f t="shared" si="602"/>
        <v>12Go Link</v>
      </c>
      <c r="E4433" s="2" t="s">
        <v>193</v>
      </c>
    </row>
    <row r="4434">
      <c r="A4434" s="2" t="s">
        <v>4561</v>
      </c>
      <c r="B4434" s="2" t="s">
        <v>4310</v>
      </c>
      <c r="C4434" s="2" t="s">
        <v>4563</v>
      </c>
      <c r="D4434" s="3" t="str">
        <f t="shared" ref="D4434:D4436" si="603">HYPERLINK("https://12go.asia/en/travel/KrielOgies-Transfer/OR-Tambo-International-Airport", "12Go Link")</f>
        <v>12Go Link</v>
      </c>
      <c r="E4434" s="2" t="s">
        <v>191</v>
      </c>
    </row>
    <row r="4435">
      <c r="A4435" s="2" t="s">
        <v>4561</v>
      </c>
      <c r="B4435" s="2" t="s">
        <v>4310</v>
      </c>
      <c r="C4435" s="2" t="s">
        <v>4563</v>
      </c>
      <c r="D4435" s="3" t="str">
        <f t="shared" si="603"/>
        <v>12Go Link</v>
      </c>
      <c r="E4435" s="2" t="s">
        <v>192</v>
      </c>
    </row>
    <row r="4436">
      <c r="A4436" s="2" t="s">
        <v>4561</v>
      </c>
      <c r="B4436" s="2" t="s">
        <v>4310</v>
      </c>
      <c r="C4436" s="2" t="s">
        <v>4563</v>
      </c>
      <c r="D4436" s="3" t="str">
        <f t="shared" si="603"/>
        <v>12Go Link</v>
      </c>
      <c r="E4436" s="2" t="s">
        <v>193</v>
      </c>
    </row>
    <row r="4437">
      <c r="A4437" s="2" t="s">
        <v>4564</v>
      </c>
      <c r="B4437" s="2" t="s">
        <v>4310</v>
      </c>
      <c r="C4437" s="2" t="s">
        <v>4565</v>
      </c>
      <c r="D4437" s="3" t="str">
        <f t="shared" ref="D4437:D4439" si="604">HYPERLINK("https://12go.asia/en/travel/Badplaas-Transfer/OR-Tambo-International-Airport", "12Go Link")</f>
        <v>12Go Link</v>
      </c>
      <c r="E4437" s="2" t="s">
        <v>191</v>
      </c>
    </row>
    <row r="4438">
      <c r="A4438" s="2" t="s">
        <v>4564</v>
      </c>
      <c r="B4438" s="2" t="s">
        <v>4310</v>
      </c>
      <c r="C4438" s="2" t="s">
        <v>4565</v>
      </c>
      <c r="D4438" s="3" t="str">
        <f t="shared" si="604"/>
        <v>12Go Link</v>
      </c>
      <c r="E4438" s="2" t="s">
        <v>192</v>
      </c>
    </row>
    <row r="4439">
      <c r="A4439" s="2" t="s">
        <v>4564</v>
      </c>
      <c r="B4439" s="2" t="s">
        <v>4310</v>
      </c>
      <c r="C4439" s="2" t="s">
        <v>4565</v>
      </c>
      <c r="D4439" s="3" t="str">
        <f t="shared" si="604"/>
        <v>12Go Link</v>
      </c>
      <c r="E4439" s="2" t="s">
        <v>193</v>
      </c>
    </row>
    <row r="4440">
      <c r="A4440" s="2" t="s">
        <v>4566</v>
      </c>
      <c r="B4440" s="2" t="s">
        <v>4307</v>
      </c>
      <c r="C4440" s="2" t="s">
        <v>4567</v>
      </c>
      <c r="D4440" s="3" t="str">
        <f t="shared" ref="D4440:D4442" si="605">HYPERLINK("https://12go.asia/en/travel/Fairview-Transfer/Chief-Dawid-Stuurman-Intl-Airport", "12Go Link")</f>
        <v>12Go Link</v>
      </c>
      <c r="E4440" s="2" t="s">
        <v>191</v>
      </c>
    </row>
    <row r="4441">
      <c r="A4441" s="2" t="s">
        <v>4566</v>
      </c>
      <c r="B4441" s="2" t="s">
        <v>4307</v>
      </c>
      <c r="C4441" s="2" t="s">
        <v>4567</v>
      </c>
      <c r="D4441" s="3" t="str">
        <f t="shared" si="605"/>
        <v>12Go Link</v>
      </c>
      <c r="E4441" s="2" t="s">
        <v>192</v>
      </c>
    </row>
    <row r="4442">
      <c r="A4442" s="2" t="s">
        <v>4566</v>
      </c>
      <c r="B4442" s="2" t="s">
        <v>4307</v>
      </c>
      <c r="C4442" s="2" t="s">
        <v>4567</v>
      </c>
      <c r="D4442" s="3" t="str">
        <f t="shared" si="605"/>
        <v>12Go Link</v>
      </c>
      <c r="E4442" s="2" t="s">
        <v>193</v>
      </c>
    </row>
    <row r="4443">
      <c r="A4443" s="2" t="s">
        <v>4568</v>
      </c>
      <c r="B4443" s="2" t="s">
        <v>4310</v>
      </c>
      <c r="C4443" s="2" t="s">
        <v>4569</v>
      </c>
      <c r="D4443" s="3" t="str">
        <f t="shared" ref="D4443:D4445" si="606">HYPERLINK("https://12go.asia/en/travel/Amsterdam-Transfer/OR-Tambo-International-Airport", "12Go Link")</f>
        <v>12Go Link</v>
      </c>
      <c r="E4443" s="2" t="s">
        <v>191</v>
      </c>
    </row>
    <row r="4444">
      <c r="A4444" s="2" t="s">
        <v>4568</v>
      </c>
      <c r="B4444" s="2" t="s">
        <v>4310</v>
      </c>
      <c r="C4444" s="2" t="s">
        <v>4569</v>
      </c>
      <c r="D4444" s="3" t="str">
        <f t="shared" si="606"/>
        <v>12Go Link</v>
      </c>
      <c r="E4444" s="2" t="s">
        <v>192</v>
      </c>
    </row>
    <row r="4445">
      <c r="A4445" s="2" t="s">
        <v>4568</v>
      </c>
      <c r="B4445" s="2" t="s">
        <v>4310</v>
      </c>
      <c r="C4445" s="2" t="s">
        <v>4569</v>
      </c>
      <c r="D4445" s="3" t="str">
        <f t="shared" si="606"/>
        <v>12Go Link</v>
      </c>
      <c r="E4445" s="2" t="s">
        <v>193</v>
      </c>
    </row>
    <row r="4446">
      <c r="A4446" s="2" t="s">
        <v>4570</v>
      </c>
      <c r="B4446" s="2" t="s">
        <v>4310</v>
      </c>
      <c r="C4446" s="2" t="s">
        <v>4571</v>
      </c>
      <c r="D4446" s="3" t="str">
        <f t="shared" ref="D4446:D4448" si="607">HYPERLINK("https://12go.asia/en/travel/Ermelo-Transfer/OR-Tambo-International-Airport", "12Go Link")</f>
        <v>12Go Link</v>
      </c>
      <c r="E4446" s="2" t="s">
        <v>191</v>
      </c>
    </row>
    <row r="4447">
      <c r="A4447" s="2" t="s">
        <v>4570</v>
      </c>
      <c r="B4447" s="2" t="s">
        <v>4310</v>
      </c>
      <c r="C4447" s="2" t="s">
        <v>4571</v>
      </c>
      <c r="D4447" s="3" t="str">
        <f t="shared" si="607"/>
        <v>12Go Link</v>
      </c>
      <c r="E4447" s="2" t="s">
        <v>192</v>
      </c>
    </row>
    <row r="4448">
      <c r="A4448" s="2" t="s">
        <v>4570</v>
      </c>
      <c r="B4448" s="2" t="s">
        <v>4310</v>
      </c>
      <c r="C4448" s="2" t="s">
        <v>4571</v>
      </c>
      <c r="D4448" s="3" t="str">
        <f t="shared" si="607"/>
        <v>12Go Link</v>
      </c>
      <c r="E4448" s="2" t="s">
        <v>193</v>
      </c>
    </row>
    <row r="4449">
      <c r="A4449" s="2" t="s">
        <v>4521</v>
      </c>
      <c r="B4449" s="2" t="s">
        <v>4319</v>
      </c>
      <c r="C4449" s="2" t="s">
        <v>4572</v>
      </c>
      <c r="D4449" s="3" t="str">
        <f t="shared" ref="D4449:D4451" si="608">HYPERLINK("https://12go.asia/en/travel/Mngeni-River-Transfer/Durban-International-Airport", "12Go Link")</f>
        <v>12Go Link</v>
      </c>
      <c r="E4449" s="2" t="s">
        <v>191</v>
      </c>
    </row>
    <row r="4450">
      <c r="A4450" s="2" t="s">
        <v>4521</v>
      </c>
      <c r="B4450" s="2" t="s">
        <v>4319</v>
      </c>
      <c r="C4450" s="2" t="s">
        <v>4572</v>
      </c>
      <c r="D4450" s="3" t="str">
        <f t="shared" si="608"/>
        <v>12Go Link</v>
      </c>
      <c r="E4450" s="2" t="s">
        <v>192</v>
      </c>
    </row>
    <row r="4451">
      <c r="A4451" s="2" t="s">
        <v>4521</v>
      </c>
      <c r="B4451" s="2" t="s">
        <v>4319</v>
      </c>
      <c r="C4451" s="2" t="s">
        <v>4572</v>
      </c>
      <c r="D4451" s="3" t="str">
        <f t="shared" si="608"/>
        <v>12Go Link</v>
      </c>
      <c r="E4451" s="2" t="s">
        <v>193</v>
      </c>
    </row>
    <row r="4452">
      <c r="A4452" s="2" t="s">
        <v>4453</v>
      </c>
      <c r="B4452" s="2" t="s">
        <v>4331</v>
      </c>
      <c r="C4452" s="2" t="s">
        <v>4573</v>
      </c>
      <c r="D4452" s="3" t="str">
        <f t="shared" ref="D4452:D4454" si="609">HYPERLINK("https://12go.asia/en/travel/Fish-Hoek-Transfer/Cape-Town-International-Airport", "12Go Link")</f>
        <v>12Go Link</v>
      </c>
      <c r="E4452" s="2" t="s">
        <v>191</v>
      </c>
    </row>
    <row r="4453">
      <c r="A4453" s="2" t="s">
        <v>4453</v>
      </c>
      <c r="B4453" s="2" t="s">
        <v>4331</v>
      </c>
      <c r="C4453" s="2" t="s">
        <v>4573</v>
      </c>
      <c r="D4453" s="3" t="str">
        <f t="shared" si="609"/>
        <v>12Go Link</v>
      </c>
      <c r="E4453" s="2" t="s">
        <v>192</v>
      </c>
    </row>
    <row r="4454">
      <c r="A4454" s="2" t="s">
        <v>4453</v>
      </c>
      <c r="B4454" s="2" t="s">
        <v>4331</v>
      </c>
      <c r="C4454" s="2" t="s">
        <v>4573</v>
      </c>
      <c r="D4454" s="3" t="str">
        <f t="shared" si="609"/>
        <v>12Go Link</v>
      </c>
      <c r="E4454" s="2" t="s">
        <v>193</v>
      </c>
    </row>
    <row r="4455">
      <c r="A4455" s="2" t="s">
        <v>4455</v>
      </c>
      <c r="B4455" s="2" t="s">
        <v>4331</v>
      </c>
      <c r="C4455" s="2" t="s">
        <v>4574</v>
      </c>
      <c r="D4455" s="3" t="str">
        <f t="shared" ref="D4455:D4457" si="610">HYPERLINK("https://12go.asia/en/travel/Franschoek-Transfer/Cape-Town-International-Airport", "12Go Link")</f>
        <v>12Go Link</v>
      </c>
      <c r="E4455" s="2" t="s">
        <v>191</v>
      </c>
    </row>
    <row r="4456">
      <c r="A4456" s="2" t="s">
        <v>4455</v>
      </c>
      <c r="B4456" s="2" t="s">
        <v>4331</v>
      </c>
      <c r="C4456" s="2" t="s">
        <v>4574</v>
      </c>
      <c r="D4456" s="3" t="str">
        <f t="shared" si="610"/>
        <v>12Go Link</v>
      </c>
      <c r="E4456" s="2" t="s">
        <v>192</v>
      </c>
    </row>
    <row r="4457">
      <c r="A4457" s="2" t="s">
        <v>4455</v>
      </c>
      <c r="B4457" s="2" t="s">
        <v>4331</v>
      </c>
      <c r="C4457" s="2" t="s">
        <v>4574</v>
      </c>
      <c r="D4457" s="3" t="str">
        <f t="shared" si="610"/>
        <v>12Go Link</v>
      </c>
      <c r="E4457" s="2" t="s">
        <v>193</v>
      </c>
    </row>
    <row r="4458">
      <c r="A4458" s="2" t="s">
        <v>4575</v>
      </c>
      <c r="B4458" s="2" t="s">
        <v>4307</v>
      </c>
      <c r="C4458" s="2" t="s">
        <v>4576</v>
      </c>
      <c r="D4458" s="3" t="str">
        <f t="shared" ref="D4458:D4460" si="611">HYPERLINK("https://12go.asia/en/travel/Mondplaas-Ponds-Transfer/Chief-Dawid-Stuurman-Intl-Airport", "12Go Link")</f>
        <v>12Go Link</v>
      </c>
      <c r="E4458" s="2" t="s">
        <v>191</v>
      </c>
    </row>
    <row r="4459">
      <c r="A4459" s="2" t="s">
        <v>4575</v>
      </c>
      <c r="B4459" s="2" t="s">
        <v>4307</v>
      </c>
      <c r="C4459" s="2" t="s">
        <v>4576</v>
      </c>
      <c r="D4459" s="3" t="str">
        <f t="shared" si="611"/>
        <v>12Go Link</v>
      </c>
      <c r="E4459" s="2" t="s">
        <v>192</v>
      </c>
    </row>
    <row r="4460">
      <c r="A4460" s="2" t="s">
        <v>4575</v>
      </c>
      <c r="B4460" s="2" t="s">
        <v>4307</v>
      </c>
      <c r="C4460" s="2" t="s">
        <v>4576</v>
      </c>
      <c r="D4460" s="3" t="str">
        <f t="shared" si="611"/>
        <v>12Go Link</v>
      </c>
      <c r="E4460" s="2" t="s">
        <v>193</v>
      </c>
    </row>
    <row r="4461">
      <c r="A4461" s="2" t="s">
        <v>4457</v>
      </c>
      <c r="B4461" s="2" t="s">
        <v>4331</v>
      </c>
      <c r="C4461" s="2" t="s">
        <v>4577</v>
      </c>
      <c r="D4461" s="3" t="str">
        <f t="shared" ref="D4461:D4463" si="612">HYPERLINK("https://12go.asia/en/travel/Gansbaai-Transfer/Cape-Town-International-Airport", "12Go Link")</f>
        <v>12Go Link</v>
      </c>
      <c r="E4461" s="2" t="s">
        <v>191</v>
      </c>
    </row>
    <row r="4462">
      <c r="A4462" s="2" t="s">
        <v>4457</v>
      </c>
      <c r="B4462" s="2" t="s">
        <v>4331</v>
      </c>
      <c r="C4462" s="2" t="s">
        <v>4577</v>
      </c>
      <c r="D4462" s="3" t="str">
        <f t="shared" si="612"/>
        <v>12Go Link</v>
      </c>
      <c r="E4462" s="2" t="s">
        <v>192</v>
      </c>
    </row>
    <row r="4463">
      <c r="A4463" s="2" t="s">
        <v>4457</v>
      </c>
      <c r="B4463" s="2" t="s">
        <v>4331</v>
      </c>
      <c r="C4463" s="2" t="s">
        <v>4577</v>
      </c>
      <c r="D4463" s="3" t="str">
        <f t="shared" si="612"/>
        <v>12Go Link</v>
      </c>
      <c r="E4463" s="2" t="s">
        <v>193</v>
      </c>
    </row>
    <row r="4464">
      <c r="A4464" s="2" t="s">
        <v>4578</v>
      </c>
      <c r="B4464" s="2" t="s">
        <v>4310</v>
      </c>
      <c r="C4464" s="2" t="s">
        <v>4579</v>
      </c>
      <c r="D4464" s="3" t="str">
        <f t="shared" ref="D4464:D4466" si="613">HYPERLINK("https://12go.asia/en/travel/Bedford-Gardens-Transfer/OR-Tambo-International-Airport", "12Go Link")</f>
        <v>12Go Link</v>
      </c>
      <c r="E4464" s="2" t="s">
        <v>191</v>
      </c>
    </row>
    <row r="4465">
      <c r="A4465" s="2" t="s">
        <v>4578</v>
      </c>
      <c r="B4465" s="2" t="s">
        <v>4310</v>
      </c>
      <c r="C4465" s="2" t="s">
        <v>4579</v>
      </c>
      <c r="D4465" s="3" t="str">
        <f t="shared" si="613"/>
        <v>12Go Link</v>
      </c>
      <c r="E4465" s="2" t="s">
        <v>192</v>
      </c>
    </row>
    <row r="4466">
      <c r="A4466" s="2" t="s">
        <v>4578</v>
      </c>
      <c r="B4466" s="2" t="s">
        <v>4310</v>
      </c>
      <c r="C4466" s="2" t="s">
        <v>4579</v>
      </c>
      <c r="D4466" s="3" t="str">
        <f t="shared" si="613"/>
        <v>12Go Link</v>
      </c>
      <c r="E4466" s="2" t="s">
        <v>193</v>
      </c>
    </row>
    <row r="4467">
      <c r="A4467" s="2" t="s">
        <v>4307</v>
      </c>
      <c r="B4467" s="2" t="s">
        <v>4306</v>
      </c>
      <c r="C4467" s="2" t="s">
        <v>4580</v>
      </c>
      <c r="D4467" s="3" t="str">
        <f t="shared" ref="D4467:D4469" si="614">HYPERLINK("https://12go.asia/en/travel/Chief-Dawid-Stuurman-Intl-Airport/Addo-Elephant-National-Park-Transfer", "12Go Link")</f>
        <v>12Go Link</v>
      </c>
      <c r="E4467" s="2" t="s">
        <v>191</v>
      </c>
    </row>
    <row r="4468">
      <c r="A4468" s="2" t="s">
        <v>4307</v>
      </c>
      <c r="B4468" s="2" t="s">
        <v>4306</v>
      </c>
      <c r="C4468" s="2" t="s">
        <v>4580</v>
      </c>
      <c r="D4468" s="3" t="str">
        <f t="shared" si="614"/>
        <v>12Go Link</v>
      </c>
      <c r="E4468" s="2" t="s">
        <v>192</v>
      </c>
    </row>
    <row r="4469">
      <c r="A4469" s="2" t="s">
        <v>4307</v>
      </c>
      <c r="B4469" s="2" t="s">
        <v>4306</v>
      </c>
      <c r="C4469" s="2" t="s">
        <v>4580</v>
      </c>
      <c r="D4469" s="3" t="str">
        <f t="shared" si="614"/>
        <v>12Go Link</v>
      </c>
      <c r="E4469" s="2" t="s">
        <v>193</v>
      </c>
    </row>
    <row r="4470">
      <c r="A4470" s="2" t="s">
        <v>4307</v>
      </c>
      <c r="B4470" s="2" t="s">
        <v>4312</v>
      </c>
      <c r="C4470" s="2" t="s">
        <v>4581</v>
      </c>
      <c r="D4470" s="3" t="str">
        <f t="shared" ref="D4470:D4472" si="615">HYPERLINK("https://12go.asia/en/travel/Chief-Dawid-Stuurman-Intl-Airport/Amakhala-Game-Reserve-Transfer", "12Go Link")</f>
        <v>12Go Link</v>
      </c>
      <c r="E4470" s="2" t="s">
        <v>191</v>
      </c>
    </row>
    <row r="4471">
      <c r="A4471" s="2" t="s">
        <v>4307</v>
      </c>
      <c r="B4471" s="2" t="s">
        <v>4312</v>
      </c>
      <c r="C4471" s="2" t="s">
        <v>4581</v>
      </c>
      <c r="D4471" s="3" t="str">
        <f t="shared" si="615"/>
        <v>12Go Link</v>
      </c>
      <c r="E4471" s="2" t="s">
        <v>192</v>
      </c>
    </row>
    <row r="4472">
      <c r="A4472" s="2" t="s">
        <v>4307</v>
      </c>
      <c r="B4472" s="2" t="s">
        <v>4312</v>
      </c>
      <c r="C4472" s="2" t="s">
        <v>4581</v>
      </c>
      <c r="D4472" s="3" t="str">
        <f t="shared" si="615"/>
        <v>12Go Link</v>
      </c>
      <c r="E4472" s="2" t="s">
        <v>193</v>
      </c>
    </row>
    <row r="4473">
      <c r="A4473" s="2" t="s">
        <v>4307</v>
      </c>
      <c r="B4473" s="2" t="s">
        <v>4331</v>
      </c>
      <c r="C4473" s="2" t="s">
        <v>4582</v>
      </c>
      <c r="D4473" s="3" t="str">
        <f t="shared" ref="D4473:D4475" si="616">HYPERLINK("https://12go.asia/en/travel/Chief-Dawid-Stuurman-Intl-Airport/Penguin-Route-Transfer", "12Go Link")</f>
        <v>12Go Link</v>
      </c>
      <c r="E4473" s="2" t="s">
        <v>191</v>
      </c>
    </row>
    <row r="4474">
      <c r="A4474" s="2" t="s">
        <v>4307</v>
      </c>
      <c r="B4474" s="2" t="s">
        <v>4331</v>
      </c>
      <c r="C4474" s="2" t="s">
        <v>4582</v>
      </c>
      <c r="D4474" s="3" t="str">
        <f t="shared" si="616"/>
        <v>12Go Link</v>
      </c>
      <c r="E4474" s="2" t="s">
        <v>192</v>
      </c>
    </row>
    <row r="4475">
      <c r="A4475" s="2" t="s">
        <v>4307</v>
      </c>
      <c r="B4475" s="2" t="s">
        <v>4331</v>
      </c>
      <c r="C4475" s="2" t="s">
        <v>4582</v>
      </c>
      <c r="D4475" s="3" t="str">
        <f t="shared" si="616"/>
        <v>12Go Link</v>
      </c>
      <c r="E4475" s="2" t="s">
        <v>193</v>
      </c>
    </row>
    <row r="4476">
      <c r="A4476" s="2" t="s">
        <v>4307</v>
      </c>
      <c r="B4476" s="2" t="s">
        <v>4319</v>
      </c>
      <c r="C4476" s="2" t="s">
        <v>4583</v>
      </c>
      <c r="D4476" s="3" t="str">
        <f t="shared" ref="D4476:D4478" si="617">HYPERLINK("https://12go.asia/en/travel/Chief-Dawid-Stuurman-Intl-Airport/Marigold-Park-Transfer", "12Go Link")</f>
        <v>12Go Link</v>
      </c>
      <c r="E4476" s="2" t="s">
        <v>191</v>
      </c>
    </row>
    <row r="4477">
      <c r="A4477" s="2" t="s">
        <v>4307</v>
      </c>
      <c r="B4477" s="2" t="s">
        <v>4319</v>
      </c>
      <c r="C4477" s="2" t="s">
        <v>4583</v>
      </c>
      <c r="D4477" s="3" t="str">
        <f t="shared" si="617"/>
        <v>12Go Link</v>
      </c>
      <c r="E4477" s="2" t="s">
        <v>192</v>
      </c>
    </row>
    <row r="4478">
      <c r="A4478" s="2" t="s">
        <v>4307</v>
      </c>
      <c r="B4478" s="2" t="s">
        <v>4319</v>
      </c>
      <c r="C4478" s="2" t="s">
        <v>4583</v>
      </c>
      <c r="D4478" s="3" t="str">
        <f t="shared" si="617"/>
        <v>12Go Link</v>
      </c>
      <c r="E4478" s="2" t="s">
        <v>193</v>
      </c>
    </row>
    <row r="4479">
      <c r="A4479" s="2" t="s">
        <v>4307</v>
      </c>
      <c r="B4479" s="2" t="s">
        <v>4566</v>
      </c>
      <c r="C4479" s="2" t="s">
        <v>4584</v>
      </c>
      <c r="D4479" s="3" t="str">
        <f t="shared" ref="D4479:D4481" si="618">HYPERLINK("https://12go.asia/en/travel/Chief-Dawid-Stuurman-Intl-Airport/Fairview-Transfer", "12Go Link")</f>
        <v>12Go Link</v>
      </c>
      <c r="E4479" s="2" t="s">
        <v>191</v>
      </c>
    </row>
    <row r="4480">
      <c r="A4480" s="2" t="s">
        <v>4307</v>
      </c>
      <c r="B4480" s="2" t="s">
        <v>4566</v>
      </c>
      <c r="C4480" s="2" t="s">
        <v>4584</v>
      </c>
      <c r="D4480" s="3" t="str">
        <f t="shared" si="618"/>
        <v>12Go Link</v>
      </c>
      <c r="E4480" s="2" t="s">
        <v>192</v>
      </c>
    </row>
    <row r="4481">
      <c r="A4481" s="2" t="s">
        <v>4307</v>
      </c>
      <c r="B4481" s="2" t="s">
        <v>4566</v>
      </c>
      <c r="C4481" s="2" t="s">
        <v>4584</v>
      </c>
      <c r="D4481" s="3" t="str">
        <f t="shared" si="618"/>
        <v>12Go Link</v>
      </c>
      <c r="E4481" s="2" t="s">
        <v>193</v>
      </c>
    </row>
    <row r="4482">
      <c r="A4482" s="2" t="s">
        <v>4307</v>
      </c>
      <c r="B4482" s="2" t="s">
        <v>4575</v>
      </c>
      <c r="C4482" s="2" t="s">
        <v>4585</v>
      </c>
      <c r="D4482" s="3" t="str">
        <f t="shared" ref="D4482:D4484" si="619">HYPERLINK("https://12go.asia/en/travel/Chief-Dawid-Stuurman-Intl-Airport/Mondplaas-Ponds-Transfer", "12Go Link")</f>
        <v>12Go Link</v>
      </c>
      <c r="E4482" s="2" t="s">
        <v>191</v>
      </c>
    </row>
    <row r="4483">
      <c r="A4483" s="2" t="s">
        <v>4307</v>
      </c>
      <c r="B4483" s="2" t="s">
        <v>4575</v>
      </c>
      <c r="C4483" s="2" t="s">
        <v>4585</v>
      </c>
      <c r="D4483" s="3" t="str">
        <f t="shared" si="619"/>
        <v>12Go Link</v>
      </c>
      <c r="E4483" s="2" t="s">
        <v>192</v>
      </c>
    </row>
    <row r="4484">
      <c r="A4484" s="2" t="s">
        <v>4307</v>
      </c>
      <c r="B4484" s="2" t="s">
        <v>4575</v>
      </c>
      <c r="C4484" s="2" t="s">
        <v>4585</v>
      </c>
      <c r="D4484" s="3" t="str">
        <f t="shared" si="619"/>
        <v>12Go Link</v>
      </c>
      <c r="E4484" s="2" t="s">
        <v>193</v>
      </c>
    </row>
    <row r="4485">
      <c r="A4485" s="2" t="s">
        <v>4307</v>
      </c>
      <c r="B4485" s="2" t="s">
        <v>4307</v>
      </c>
      <c r="C4485" s="2" t="s">
        <v>4586</v>
      </c>
      <c r="D4485" s="3" t="str">
        <f t="shared" ref="D4485:D4487" si="620">HYPERLINK("https://12go.asia/en/travel/Bayworld-Museum-Complex-Transfer/Chief-Dawid-Stuurman-Intl-Airport", "12Go Link")</f>
        <v>12Go Link</v>
      </c>
      <c r="E4485" s="2" t="s">
        <v>191</v>
      </c>
    </row>
    <row r="4486">
      <c r="A4486" s="2" t="s">
        <v>4307</v>
      </c>
      <c r="B4486" s="2" t="s">
        <v>4307</v>
      </c>
      <c r="C4486" s="2" t="s">
        <v>4586</v>
      </c>
      <c r="D4486" s="3" t="str">
        <f t="shared" si="620"/>
        <v>12Go Link</v>
      </c>
      <c r="E4486" s="2" t="s">
        <v>192</v>
      </c>
    </row>
    <row r="4487">
      <c r="A4487" s="2" t="s">
        <v>4307</v>
      </c>
      <c r="B4487" s="2" t="s">
        <v>4307</v>
      </c>
      <c r="C4487" s="2" t="s">
        <v>4586</v>
      </c>
      <c r="D4487" s="3" t="str">
        <f t="shared" si="620"/>
        <v>12Go Link</v>
      </c>
      <c r="E4487" s="2" t="s">
        <v>193</v>
      </c>
    </row>
    <row r="4488">
      <c r="A4488" s="2" t="s">
        <v>4307</v>
      </c>
      <c r="B4488" s="2" t="s">
        <v>4307</v>
      </c>
      <c r="C4488" s="2" t="s">
        <v>4587</v>
      </c>
      <c r="D4488" s="3" t="str">
        <f t="shared" ref="D4488:D4490" si="621">HYPERLINK("https://12go.asia/en/travel/Bluewater-bay-Transfer/Chief-Dawid-Stuurman-Intl-Airport", "12Go Link")</f>
        <v>12Go Link</v>
      </c>
      <c r="E4488" s="2" t="s">
        <v>191</v>
      </c>
    </row>
    <row r="4489">
      <c r="A4489" s="2" t="s">
        <v>4307</v>
      </c>
      <c r="B4489" s="2" t="s">
        <v>4307</v>
      </c>
      <c r="C4489" s="2" t="s">
        <v>4587</v>
      </c>
      <c r="D4489" s="3" t="str">
        <f t="shared" si="621"/>
        <v>12Go Link</v>
      </c>
      <c r="E4489" s="2" t="s">
        <v>192</v>
      </c>
    </row>
    <row r="4490">
      <c r="A4490" s="2" t="s">
        <v>4307</v>
      </c>
      <c r="B4490" s="2" t="s">
        <v>4307</v>
      </c>
      <c r="C4490" s="2" t="s">
        <v>4587</v>
      </c>
      <c r="D4490" s="3" t="str">
        <f t="shared" si="621"/>
        <v>12Go Link</v>
      </c>
      <c r="E4490" s="2" t="s">
        <v>193</v>
      </c>
    </row>
    <row r="4491">
      <c r="A4491" s="2" t="s">
        <v>4307</v>
      </c>
      <c r="B4491" s="2" t="s">
        <v>4307</v>
      </c>
      <c r="C4491" s="2" t="s">
        <v>4588</v>
      </c>
      <c r="D4491" s="3" t="str">
        <f t="shared" ref="D4491:D4493" si="622">HYPERLINK("https://12go.asia/en/travel/Boardwalk-Casino-and-Entertainment-Complex-Transfer/Chief-Dawid-Stuurman-Intl-Airport", "12Go Link")</f>
        <v>12Go Link</v>
      </c>
      <c r="E4491" s="2" t="s">
        <v>191</v>
      </c>
    </row>
    <row r="4492">
      <c r="A4492" s="2" t="s">
        <v>4307</v>
      </c>
      <c r="B4492" s="2" t="s">
        <v>4307</v>
      </c>
      <c r="C4492" s="2" t="s">
        <v>4588</v>
      </c>
      <c r="D4492" s="3" t="str">
        <f t="shared" si="622"/>
        <v>12Go Link</v>
      </c>
      <c r="E4492" s="2" t="s">
        <v>192</v>
      </c>
    </row>
    <row r="4493">
      <c r="A4493" s="2" t="s">
        <v>4307</v>
      </c>
      <c r="B4493" s="2" t="s">
        <v>4307</v>
      </c>
      <c r="C4493" s="2" t="s">
        <v>4588</v>
      </c>
      <c r="D4493" s="3" t="str">
        <f t="shared" si="622"/>
        <v>12Go Link</v>
      </c>
      <c r="E4493" s="2" t="s">
        <v>193</v>
      </c>
    </row>
    <row r="4494">
      <c r="A4494" s="2" t="s">
        <v>4307</v>
      </c>
      <c r="B4494" s="2" t="s">
        <v>4307</v>
      </c>
      <c r="C4494" s="2" t="s">
        <v>4589</v>
      </c>
      <c r="D4494" s="3" t="str">
        <f t="shared" ref="D4494:D4496" si="623">HYPERLINK("https://12go.asia/en/travel/Cape-Recife-Nature-Reserve-Transfer/Chief-Dawid-Stuurman-Intl-Airport", "12Go Link")</f>
        <v>12Go Link</v>
      </c>
      <c r="E4494" s="2" t="s">
        <v>191</v>
      </c>
    </row>
    <row r="4495">
      <c r="A4495" s="2" t="s">
        <v>4307</v>
      </c>
      <c r="B4495" s="2" t="s">
        <v>4307</v>
      </c>
      <c r="C4495" s="2" t="s">
        <v>4589</v>
      </c>
      <c r="D4495" s="3" t="str">
        <f t="shared" si="623"/>
        <v>12Go Link</v>
      </c>
      <c r="E4495" s="2" t="s">
        <v>192</v>
      </c>
    </row>
    <row r="4496">
      <c r="A4496" s="2" t="s">
        <v>4307</v>
      </c>
      <c r="B4496" s="2" t="s">
        <v>4307</v>
      </c>
      <c r="C4496" s="2" t="s">
        <v>4589</v>
      </c>
      <c r="D4496" s="3" t="str">
        <f t="shared" si="623"/>
        <v>12Go Link</v>
      </c>
      <c r="E4496" s="2" t="s">
        <v>193</v>
      </c>
    </row>
    <row r="4497">
      <c r="A4497" s="2" t="s">
        <v>4307</v>
      </c>
      <c r="B4497" s="2" t="s">
        <v>4307</v>
      </c>
      <c r="C4497" s="2" t="s">
        <v>4590</v>
      </c>
      <c r="D4497" s="3" t="str">
        <f t="shared" ref="D4497:D4499" si="624">HYPERLINK("https://12go.asia/en/travel/Charlo-Transfer/Chief-Dawid-Stuurman-Intl-Airport", "12Go Link")</f>
        <v>12Go Link</v>
      </c>
      <c r="E4497" s="2" t="s">
        <v>191</v>
      </c>
    </row>
    <row r="4498">
      <c r="A4498" s="2" t="s">
        <v>4307</v>
      </c>
      <c r="B4498" s="2" t="s">
        <v>4307</v>
      </c>
      <c r="C4498" s="2" t="s">
        <v>4590</v>
      </c>
      <c r="D4498" s="3" t="str">
        <f t="shared" si="624"/>
        <v>12Go Link</v>
      </c>
      <c r="E4498" s="2" t="s">
        <v>192</v>
      </c>
    </row>
    <row r="4499">
      <c r="A4499" s="2" t="s">
        <v>4307</v>
      </c>
      <c r="B4499" s="2" t="s">
        <v>4307</v>
      </c>
      <c r="C4499" s="2" t="s">
        <v>4590</v>
      </c>
      <c r="D4499" s="3" t="str">
        <f t="shared" si="624"/>
        <v>12Go Link</v>
      </c>
      <c r="E4499" s="2" t="s">
        <v>193</v>
      </c>
    </row>
    <row r="4500">
      <c r="A4500" s="2" t="s">
        <v>4307</v>
      </c>
      <c r="B4500" s="2" t="s">
        <v>4307</v>
      </c>
      <c r="C4500" s="2" t="s">
        <v>4591</v>
      </c>
      <c r="D4500" s="3" t="str">
        <f t="shared" ref="D4500:D4502" si="625">HYPERLINK("https://12go.asia/en/travel/Chief-Dawid-Stuurman-Intl-Airport/Bayworld-Museum-Complex-Transfer", "12Go Link")</f>
        <v>12Go Link</v>
      </c>
      <c r="E4500" s="2" t="s">
        <v>191</v>
      </c>
    </row>
    <row r="4501">
      <c r="A4501" s="2" t="s">
        <v>4307</v>
      </c>
      <c r="B4501" s="2" t="s">
        <v>4307</v>
      </c>
      <c r="C4501" s="2" t="s">
        <v>4591</v>
      </c>
      <c r="D4501" s="3" t="str">
        <f t="shared" si="625"/>
        <v>12Go Link</v>
      </c>
      <c r="E4501" s="2" t="s">
        <v>192</v>
      </c>
    </row>
    <row r="4502">
      <c r="A4502" s="2" t="s">
        <v>4307</v>
      </c>
      <c r="B4502" s="2" t="s">
        <v>4307</v>
      </c>
      <c r="C4502" s="2" t="s">
        <v>4591</v>
      </c>
      <c r="D4502" s="3" t="str">
        <f t="shared" si="625"/>
        <v>12Go Link</v>
      </c>
      <c r="E4502" s="2" t="s">
        <v>193</v>
      </c>
    </row>
    <row r="4503">
      <c r="A4503" s="2" t="s">
        <v>4307</v>
      </c>
      <c r="B4503" s="2" t="s">
        <v>4307</v>
      </c>
      <c r="C4503" s="2" t="s">
        <v>4592</v>
      </c>
      <c r="D4503" s="3" t="str">
        <f t="shared" ref="D4503:D4505" si="626">HYPERLINK("https://12go.asia/en/travel/Chief-Dawid-Stuurman-Intl-Airport/Bluewater-bay-Transfer", "12Go Link")</f>
        <v>12Go Link</v>
      </c>
      <c r="E4503" s="2" t="s">
        <v>191</v>
      </c>
    </row>
    <row r="4504">
      <c r="A4504" s="2" t="s">
        <v>4307</v>
      </c>
      <c r="B4504" s="2" t="s">
        <v>4307</v>
      </c>
      <c r="C4504" s="2" t="s">
        <v>4592</v>
      </c>
      <c r="D4504" s="3" t="str">
        <f t="shared" si="626"/>
        <v>12Go Link</v>
      </c>
      <c r="E4504" s="2" t="s">
        <v>192</v>
      </c>
    </row>
    <row r="4505">
      <c r="A4505" s="2" t="s">
        <v>4307</v>
      </c>
      <c r="B4505" s="2" t="s">
        <v>4307</v>
      </c>
      <c r="C4505" s="2" t="s">
        <v>4592</v>
      </c>
      <c r="D4505" s="3" t="str">
        <f t="shared" si="626"/>
        <v>12Go Link</v>
      </c>
      <c r="E4505" s="2" t="s">
        <v>193</v>
      </c>
    </row>
    <row r="4506">
      <c r="A4506" s="2" t="s">
        <v>4307</v>
      </c>
      <c r="B4506" s="2" t="s">
        <v>4307</v>
      </c>
      <c r="C4506" s="2" t="s">
        <v>4593</v>
      </c>
      <c r="D4506" s="3" t="str">
        <f t="shared" ref="D4506:D4508" si="627">HYPERLINK("https://12go.asia/en/travel/Chief-Dawid-Stuurman-Intl-Airport/Boardwalk-Casino-and-Entertainment-Complex-Transfer", "12Go Link")</f>
        <v>12Go Link</v>
      </c>
      <c r="E4506" s="2" t="s">
        <v>191</v>
      </c>
    </row>
    <row r="4507">
      <c r="A4507" s="2" t="s">
        <v>4307</v>
      </c>
      <c r="B4507" s="2" t="s">
        <v>4307</v>
      </c>
      <c r="C4507" s="2" t="s">
        <v>4593</v>
      </c>
      <c r="D4507" s="3" t="str">
        <f t="shared" si="627"/>
        <v>12Go Link</v>
      </c>
      <c r="E4507" s="2" t="s">
        <v>192</v>
      </c>
    </row>
    <row r="4508">
      <c r="A4508" s="2" t="s">
        <v>4307</v>
      </c>
      <c r="B4508" s="2" t="s">
        <v>4307</v>
      </c>
      <c r="C4508" s="2" t="s">
        <v>4593</v>
      </c>
      <c r="D4508" s="3" t="str">
        <f t="shared" si="627"/>
        <v>12Go Link</v>
      </c>
      <c r="E4508" s="2" t="s">
        <v>193</v>
      </c>
    </row>
    <row r="4509">
      <c r="A4509" s="2" t="s">
        <v>4307</v>
      </c>
      <c r="B4509" s="2" t="s">
        <v>4307</v>
      </c>
      <c r="C4509" s="2" t="s">
        <v>4594</v>
      </c>
      <c r="D4509" s="3" t="str">
        <f t="shared" ref="D4509:D4511" si="628">HYPERLINK("https://12go.asia/en/travel/Chief-Dawid-Stuurman-Intl-Airport/Cape-Recife-Nature-Reserve-Transfer", "12Go Link")</f>
        <v>12Go Link</v>
      </c>
      <c r="E4509" s="2" t="s">
        <v>191</v>
      </c>
    </row>
    <row r="4510">
      <c r="A4510" s="2" t="s">
        <v>4307</v>
      </c>
      <c r="B4510" s="2" t="s">
        <v>4307</v>
      </c>
      <c r="C4510" s="2" t="s">
        <v>4594</v>
      </c>
      <c r="D4510" s="3" t="str">
        <f t="shared" si="628"/>
        <v>12Go Link</v>
      </c>
      <c r="E4510" s="2" t="s">
        <v>192</v>
      </c>
    </row>
    <row r="4511">
      <c r="A4511" s="2" t="s">
        <v>4307</v>
      </c>
      <c r="B4511" s="2" t="s">
        <v>4307</v>
      </c>
      <c r="C4511" s="2" t="s">
        <v>4594</v>
      </c>
      <c r="D4511" s="3" t="str">
        <f t="shared" si="628"/>
        <v>12Go Link</v>
      </c>
      <c r="E4511" s="2" t="s">
        <v>193</v>
      </c>
    </row>
    <row r="4512">
      <c r="A4512" s="2" t="s">
        <v>4307</v>
      </c>
      <c r="B4512" s="2" t="s">
        <v>4307</v>
      </c>
      <c r="C4512" s="2" t="s">
        <v>4595</v>
      </c>
      <c r="D4512" s="3" t="str">
        <f t="shared" ref="D4512:D4514" si="629">HYPERLINK("https://12go.asia/en/travel/Chief-Dawid-Stuurman-Intl-Airport/Charlo-Transfer", "12Go Link")</f>
        <v>12Go Link</v>
      </c>
      <c r="E4512" s="2" t="s">
        <v>191</v>
      </c>
    </row>
    <row r="4513">
      <c r="A4513" s="2" t="s">
        <v>4307</v>
      </c>
      <c r="B4513" s="2" t="s">
        <v>4307</v>
      </c>
      <c r="C4513" s="2" t="s">
        <v>4595</v>
      </c>
      <c r="D4513" s="3" t="str">
        <f t="shared" si="629"/>
        <v>12Go Link</v>
      </c>
      <c r="E4513" s="2" t="s">
        <v>192</v>
      </c>
    </row>
    <row r="4514">
      <c r="A4514" s="2" t="s">
        <v>4307</v>
      </c>
      <c r="B4514" s="2" t="s">
        <v>4307</v>
      </c>
      <c r="C4514" s="2" t="s">
        <v>4595</v>
      </c>
      <c r="D4514" s="3" t="str">
        <f t="shared" si="629"/>
        <v>12Go Link</v>
      </c>
      <c r="E4514" s="2" t="s">
        <v>193</v>
      </c>
    </row>
    <row r="4515">
      <c r="A4515" s="2" t="s">
        <v>4307</v>
      </c>
      <c r="B4515" s="2" t="s">
        <v>4307</v>
      </c>
      <c r="C4515" s="2" t="s">
        <v>4596</v>
      </c>
      <c r="D4515" s="3" t="str">
        <f t="shared" ref="D4515:D4517" si="630">HYPERLINK("https://12go.asia/en/travel/Chief-Dawid-Stuurman-Intl-Airport/Cora-Terrace-Transfer", "12Go Link")</f>
        <v>12Go Link</v>
      </c>
      <c r="E4515" s="2" t="s">
        <v>191</v>
      </c>
    </row>
    <row r="4516">
      <c r="A4516" s="2" t="s">
        <v>4307</v>
      </c>
      <c r="B4516" s="2" t="s">
        <v>4307</v>
      </c>
      <c r="C4516" s="2" t="s">
        <v>4596</v>
      </c>
      <c r="D4516" s="3" t="str">
        <f t="shared" si="630"/>
        <v>12Go Link</v>
      </c>
      <c r="E4516" s="2" t="s">
        <v>192</v>
      </c>
    </row>
    <row r="4517">
      <c r="A4517" s="2" t="s">
        <v>4307</v>
      </c>
      <c r="B4517" s="2" t="s">
        <v>4307</v>
      </c>
      <c r="C4517" s="2" t="s">
        <v>4596</v>
      </c>
      <c r="D4517" s="3" t="str">
        <f t="shared" si="630"/>
        <v>12Go Link</v>
      </c>
      <c r="E4517" s="2" t="s">
        <v>193</v>
      </c>
    </row>
    <row r="4518">
      <c r="A4518" s="2" t="s">
        <v>4307</v>
      </c>
      <c r="B4518" s="2" t="s">
        <v>4307</v>
      </c>
      <c r="C4518" s="2" t="s">
        <v>4597</v>
      </c>
      <c r="D4518" s="3" t="str">
        <f t="shared" ref="D4518:D4520" si="631">HYPERLINK("https://12go.asia/en/travel/Chief-Dawid-Stuurman-Intl-Airport/Donkin-Heritage-Trail-Transfer", "12Go Link")</f>
        <v>12Go Link</v>
      </c>
      <c r="E4518" s="2" t="s">
        <v>191</v>
      </c>
    </row>
    <row r="4519">
      <c r="A4519" s="2" t="s">
        <v>4307</v>
      </c>
      <c r="B4519" s="2" t="s">
        <v>4307</v>
      </c>
      <c r="C4519" s="2" t="s">
        <v>4597</v>
      </c>
      <c r="D4519" s="3" t="str">
        <f t="shared" si="631"/>
        <v>12Go Link</v>
      </c>
      <c r="E4519" s="2" t="s">
        <v>192</v>
      </c>
    </row>
    <row r="4520">
      <c r="A4520" s="2" t="s">
        <v>4307</v>
      </c>
      <c r="B4520" s="2" t="s">
        <v>4307</v>
      </c>
      <c r="C4520" s="2" t="s">
        <v>4597</v>
      </c>
      <c r="D4520" s="3" t="str">
        <f t="shared" si="631"/>
        <v>12Go Link</v>
      </c>
      <c r="E4520" s="2" t="s">
        <v>193</v>
      </c>
    </row>
    <row r="4521">
      <c r="A4521" s="2" t="s">
        <v>4307</v>
      </c>
      <c r="B4521" s="2" t="s">
        <v>4307</v>
      </c>
      <c r="C4521" s="2" t="s">
        <v>4598</v>
      </c>
      <c r="D4521" s="3" t="str">
        <f t="shared" ref="D4521:D4523" si="632">HYPERLINK("https://12go.asia/en/travel/Chief-Dawid-Stuurman-Intl-Airport/Eastern-Cape-Beaches-Transfer", "12Go Link")</f>
        <v>12Go Link</v>
      </c>
      <c r="E4521" s="2" t="s">
        <v>191</v>
      </c>
    </row>
    <row r="4522">
      <c r="A4522" s="2" t="s">
        <v>4307</v>
      </c>
      <c r="B4522" s="2" t="s">
        <v>4307</v>
      </c>
      <c r="C4522" s="2" t="s">
        <v>4598</v>
      </c>
      <c r="D4522" s="3" t="str">
        <f t="shared" si="632"/>
        <v>12Go Link</v>
      </c>
      <c r="E4522" s="2" t="s">
        <v>192</v>
      </c>
    </row>
    <row r="4523">
      <c r="A4523" s="2" t="s">
        <v>4307</v>
      </c>
      <c r="B4523" s="2" t="s">
        <v>4307</v>
      </c>
      <c r="C4523" s="2" t="s">
        <v>4598</v>
      </c>
      <c r="D4523" s="3" t="str">
        <f t="shared" si="632"/>
        <v>12Go Link</v>
      </c>
      <c r="E4523" s="2" t="s">
        <v>193</v>
      </c>
    </row>
    <row r="4524">
      <c r="A4524" s="2" t="s">
        <v>4307</v>
      </c>
      <c r="B4524" s="2" t="s">
        <v>4307</v>
      </c>
      <c r="C4524" s="2" t="s">
        <v>4599</v>
      </c>
      <c r="D4524" s="3" t="str">
        <f t="shared" ref="D4524:D4526" si="633">HYPERLINK("https://12go.asia/en/travel/Chief-Dawid-Stuurman-Intl-Airport/Fort-Frederick-Transfer", "12Go Link")</f>
        <v>12Go Link</v>
      </c>
      <c r="E4524" s="2" t="s">
        <v>191</v>
      </c>
    </row>
    <row r="4525">
      <c r="A4525" s="2" t="s">
        <v>4307</v>
      </c>
      <c r="B4525" s="2" t="s">
        <v>4307</v>
      </c>
      <c r="C4525" s="2" t="s">
        <v>4599</v>
      </c>
      <c r="D4525" s="3" t="str">
        <f t="shared" si="633"/>
        <v>12Go Link</v>
      </c>
      <c r="E4525" s="2" t="s">
        <v>192</v>
      </c>
    </row>
    <row r="4526">
      <c r="A4526" s="2" t="s">
        <v>4307</v>
      </c>
      <c r="B4526" s="2" t="s">
        <v>4307</v>
      </c>
      <c r="C4526" s="2" t="s">
        <v>4599</v>
      </c>
      <c r="D4526" s="3" t="str">
        <f t="shared" si="633"/>
        <v>12Go Link</v>
      </c>
      <c r="E4526" s="2" t="s">
        <v>193</v>
      </c>
    </row>
    <row r="4527">
      <c r="A4527" s="2" t="s">
        <v>4307</v>
      </c>
      <c r="B4527" s="2" t="s">
        <v>4307</v>
      </c>
      <c r="C4527" s="2" t="s">
        <v>4600</v>
      </c>
      <c r="D4527" s="3" t="str">
        <f t="shared" ref="D4527:D4529" si="634">HYPERLINK("https://12go.asia/en/travel/Chief-Dawid-Stuurman-Intl-Airport/Groendal-Nature-Reserve-Transfer", "12Go Link")</f>
        <v>12Go Link</v>
      </c>
      <c r="E4527" s="2" t="s">
        <v>191</v>
      </c>
    </row>
    <row r="4528">
      <c r="A4528" s="2" t="s">
        <v>4307</v>
      </c>
      <c r="B4528" s="2" t="s">
        <v>4307</v>
      </c>
      <c r="C4528" s="2" t="s">
        <v>4600</v>
      </c>
      <c r="D4528" s="3" t="str">
        <f t="shared" si="634"/>
        <v>12Go Link</v>
      </c>
      <c r="E4528" s="2" t="s">
        <v>192</v>
      </c>
    </row>
    <row r="4529">
      <c r="A4529" s="2" t="s">
        <v>4307</v>
      </c>
      <c r="B4529" s="2" t="s">
        <v>4307</v>
      </c>
      <c r="C4529" s="2" t="s">
        <v>4600</v>
      </c>
      <c r="D4529" s="3" t="str">
        <f t="shared" si="634"/>
        <v>12Go Link</v>
      </c>
      <c r="E4529" s="2" t="s">
        <v>193</v>
      </c>
    </row>
    <row r="4530">
      <c r="A4530" s="2" t="s">
        <v>4307</v>
      </c>
      <c r="B4530" s="2" t="s">
        <v>4307</v>
      </c>
      <c r="C4530" s="2" t="s">
        <v>4601</v>
      </c>
      <c r="D4530" s="3" t="str">
        <f t="shared" ref="D4530:D4532" si="635">HYPERLINK("https://12go.asia/en/travel/Chief-Dawid-Stuurman-Intl-Airport/Humewood-Golf-Club-Transfer", "12Go Link")</f>
        <v>12Go Link</v>
      </c>
      <c r="E4530" s="2" t="s">
        <v>191</v>
      </c>
    </row>
    <row r="4531">
      <c r="A4531" s="2" t="s">
        <v>4307</v>
      </c>
      <c r="B4531" s="2" t="s">
        <v>4307</v>
      </c>
      <c r="C4531" s="2" t="s">
        <v>4601</v>
      </c>
      <c r="D4531" s="3" t="str">
        <f t="shared" si="635"/>
        <v>12Go Link</v>
      </c>
      <c r="E4531" s="2" t="s">
        <v>192</v>
      </c>
    </row>
    <row r="4532">
      <c r="A4532" s="2" t="s">
        <v>4307</v>
      </c>
      <c r="B4532" s="2" t="s">
        <v>4307</v>
      </c>
      <c r="C4532" s="2" t="s">
        <v>4601</v>
      </c>
      <c r="D4532" s="3" t="str">
        <f t="shared" si="635"/>
        <v>12Go Link</v>
      </c>
      <c r="E4532" s="2" t="s">
        <v>193</v>
      </c>
    </row>
    <row r="4533">
      <c r="A4533" s="2" t="s">
        <v>4307</v>
      </c>
      <c r="B4533" s="2" t="s">
        <v>4307</v>
      </c>
      <c r="C4533" s="2" t="s">
        <v>4602</v>
      </c>
      <c r="D4533" s="3" t="str">
        <f t="shared" ref="D4533:D4535" si="636">HYPERLINK("https://12go.asia/en/travel/Chief-Dawid-Stuurman-Intl-Airport/Humewood-Transfer", "12Go Link")</f>
        <v>12Go Link</v>
      </c>
      <c r="E4533" s="2" t="s">
        <v>191</v>
      </c>
    </row>
    <row r="4534">
      <c r="A4534" s="2" t="s">
        <v>4307</v>
      </c>
      <c r="B4534" s="2" t="s">
        <v>4307</v>
      </c>
      <c r="C4534" s="2" t="s">
        <v>4602</v>
      </c>
      <c r="D4534" s="3" t="str">
        <f t="shared" si="636"/>
        <v>12Go Link</v>
      </c>
      <c r="E4534" s="2" t="s">
        <v>192</v>
      </c>
    </row>
    <row r="4535">
      <c r="A4535" s="2" t="s">
        <v>4307</v>
      </c>
      <c r="B4535" s="2" t="s">
        <v>4307</v>
      </c>
      <c r="C4535" s="2" t="s">
        <v>4602</v>
      </c>
      <c r="D4535" s="3" t="str">
        <f t="shared" si="636"/>
        <v>12Go Link</v>
      </c>
      <c r="E4535" s="2" t="s">
        <v>193</v>
      </c>
    </row>
    <row r="4536">
      <c r="A4536" s="2" t="s">
        <v>4307</v>
      </c>
      <c r="B4536" s="2" t="s">
        <v>4307</v>
      </c>
      <c r="C4536" s="2" t="s">
        <v>4603</v>
      </c>
      <c r="D4536" s="3" t="str">
        <f t="shared" ref="D4536:D4538" si="637">HYPERLINK("https://12go.asia/en/travel/Chief-Dawid-Stuurman-Intl-Airport/iBhayi-Sunshine-Saunter-Route-Transfer", "12Go Link")</f>
        <v>12Go Link</v>
      </c>
      <c r="E4536" s="2" t="s">
        <v>191</v>
      </c>
    </row>
    <row r="4537">
      <c r="A4537" s="2" t="s">
        <v>4307</v>
      </c>
      <c r="B4537" s="2" t="s">
        <v>4307</v>
      </c>
      <c r="C4537" s="2" t="s">
        <v>4603</v>
      </c>
      <c r="D4537" s="3" t="str">
        <f t="shared" si="637"/>
        <v>12Go Link</v>
      </c>
      <c r="E4537" s="2" t="s">
        <v>192</v>
      </c>
    </row>
    <row r="4538">
      <c r="A4538" s="2" t="s">
        <v>4307</v>
      </c>
      <c r="B4538" s="2" t="s">
        <v>4307</v>
      </c>
      <c r="C4538" s="2" t="s">
        <v>4603</v>
      </c>
      <c r="D4538" s="3" t="str">
        <f t="shared" si="637"/>
        <v>12Go Link</v>
      </c>
      <c r="E4538" s="2" t="s">
        <v>193</v>
      </c>
    </row>
    <row r="4539">
      <c r="A4539" s="2" t="s">
        <v>4307</v>
      </c>
      <c r="B4539" s="2" t="s">
        <v>4307</v>
      </c>
      <c r="C4539" s="2" t="s">
        <v>4604</v>
      </c>
      <c r="D4539" s="3" t="str">
        <f t="shared" ref="D4539:D4541" si="638">HYPERLINK("https://12go.asia/en/travel/Chief-Dawid-Stuurman-Intl-Airport/Island-Nature-Reserve-Transfer", "12Go Link")</f>
        <v>12Go Link</v>
      </c>
      <c r="E4539" s="2" t="s">
        <v>191</v>
      </c>
    </row>
    <row r="4540">
      <c r="A4540" s="2" t="s">
        <v>4307</v>
      </c>
      <c r="B4540" s="2" t="s">
        <v>4307</v>
      </c>
      <c r="C4540" s="2" t="s">
        <v>4604</v>
      </c>
      <c r="D4540" s="3" t="str">
        <f t="shared" si="638"/>
        <v>12Go Link</v>
      </c>
      <c r="E4540" s="2" t="s">
        <v>192</v>
      </c>
    </row>
    <row r="4541">
      <c r="A4541" s="2" t="s">
        <v>4307</v>
      </c>
      <c r="B4541" s="2" t="s">
        <v>4307</v>
      </c>
      <c r="C4541" s="2" t="s">
        <v>4604</v>
      </c>
      <c r="D4541" s="3" t="str">
        <f t="shared" si="638"/>
        <v>12Go Link</v>
      </c>
      <c r="E4541" s="2" t="s">
        <v>193</v>
      </c>
    </row>
    <row r="4542">
      <c r="A4542" s="2" t="s">
        <v>4307</v>
      </c>
      <c r="B4542" s="2" t="s">
        <v>4307</v>
      </c>
      <c r="C4542" s="2" t="s">
        <v>4605</v>
      </c>
      <c r="D4542" s="3" t="str">
        <f t="shared" ref="D4542:D4544" si="639">HYPERLINK("https://12go.asia/en/travel/Chief-Dawid-Stuurman-Intl-Airport/Kragga-Kamma-Game-Park-Transfer", "12Go Link")</f>
        <v>12Go Link</v>
      </c>
      <c r="E4542" s="2" t="s">
        <v>191</v>
      </c>
    </row>
    <row r="4543">
      <c r="A4543" s="2" t="s">
        <v>4307</v>
      </c>
      <c r="B4543" s="2" t="s">
        <v>4307</v>
      </c>
      <c r="C4543" s="2" t="s">
        <v>4605</v>
      </c>
      <c r="D4543" s="3" t="str">
        <f t="shared" si="639"/>
        <v>12Go Link</v>
      </c>
      <c r="E4543" s="2" t="s">
        <v>192</v>
      </c>
    </row>
    <row r="4544">
      <c r="A4544" s="2" t="s">
        <v>4307</v>
      </c>
      <c r="B4544" s="2" t="s">
        <v>4307</v>
      </c>
      <c r="C4544" s="2" t="s">
        <v>4605</v>
      </c>
      <c r="D4544" s="3" t="str">
        <f t="shared" si="639"/>
        <v>12Go Link</v>
      </c>
      <c r="E4544" s="2" t="s">
        <v>193</v>
      </c>
    </row>
    <row r="4545">
      <c r="A4545" s="2" t="s">
        <v>4307</v>
      </c>
      <c r="B4545" s="2" t="s">
        <v>4307</v>
      </c>
      <c r="C4545" s="2" t="s">
        <v>4606</v>
      </c>
      <c r="D4545" s="3" t="str">
        <f t="shared" ref="D4545:D4547" si="640">HYPERLINK("https://12go.asia/en/travel/Chief-Dawid-Stuurman-Intl-Airport/Kwamagxaki/Motherwell-Transfer", "12Go Link")</f>
        <v>12Go Link</v>
      </c>
      <c r="E4545" s="2" t="s">
        <v>191</v>
      </c>
    </row>
    <row r="4546">
      <c r="A4546" s="2" t="s">
        <v>4307</v>
      </c>
      <c r="B4546" s="2" t="s">
        <v>4307</v>
      </c>
      <c r="C4546" s="2" t="s">
        <v>4606</v>
      </c>
      <c r="D4546" s="3" t="str">
        <f t="shared" si="640"/>
        <v>12Go Link</v>
      </c>
      <c r="E4546" s="2" t="s">
        <v>192</v>
      </c>
    </row>
    <row r="4547">
      <c r="A4547" s="2" t="s">
        <v>4307</v>
      </c>
      <c r="B4547" s="2" t="s">
        <v>4307</v>
      </c>
      <c r="C4547" s="2" t="s">
        <v>4606</v>
      </c>
      <c r="D4547" s="3" t="str">
        <f t="shared" si="640"/>
        <v>12Go Link</v>
      </c>
      <c r="E4547" s="2" t="s">
        <v>193</v>
      </c>
    </row>
    <row r="4548">
      <c r="A4548" s="2" t="s">
        <v>4307</v>
      </c>
      <c r="B4548" s="2" t="s">
        <v>4307</v>
      </c>
      <c r="C4548" s="2" t="s">
        <v>4607</v>
      </c>
      <c r="D4548" s="3" t="str">
        <f t="shared" ref="D4548:D4550" si="641">HYPERLINK("https://12go.asia/en/travel/Chief-Dawid-Stuurman-Intl-Airport/Lorraine-Transfer", "12Go Link")</f>
        <v>12Go Link</v>
      </c>
      <c r="E4548" s="2" t="s">
        <v>191</v>
      </c>
    </row>
    <row r="4549">
      <c r="A4549" s="2" t="s">
        <v>4307</v>
      </c>
      <c r="B4549" s="2" t="s">
        <v>4307</v>
      </c>
      <c r="C4549" s="2" t="s">
        <v>4607</v>
      </c>
      <c r="D4549" s="3" t="str">
        <f t="shared" si="641"/>
        <v>12Go Link</v>
      </c>
      <c r="E4549" s="2" t="s">
        <v>192</v>
      </c>
    </row>
    <row r="4550">
      <c r="A4550" s="2" t="s">
        <v>4307</v>
      </c>
      <c r="B4550" s="2" t="s">
        <v>4307</v>
      </c>
      <c r="C4550" s="2" t="s">
        <v>4607</v>
      </c>
      <c r="D4550" s="3" t="str">
        <f t="shared" si="641"/>
        <v>12Go Link</v>
      </c>
      <c r="E4550" s="2" t="s">
        <v>193</v>
      </c>
    </row>
    <row r="4551">
      <c r="A4551" s="2" t="s">
        <v>4307</v>
      </c>
      <c r="B4551" s="2" t="s">
        <v>4307</v>
      </c>
      <c r="C4551" s="2" t="s">
        <v>4608</v>
      </c>
      <c r="D4551" s="3" t="str">
        <f t="shared" ref="D4551:D4553" si="642">HYPERLINK("https://12go.asia/en/travel/Chief-Dawid-Stuurman-Intl-Airport/Maitland-Nature-Reserve-Transfer", "12Go Link")</f>
        <v>12Go Link</v>
      </c>
      <c r="E4551" s="2" t="s">
        <v>191</v>
      </c>
    </row>
    <row r="4552">
      <c r="A4552" s="2" t="s">
        <v>4307</v>
      </c>
      <c r="B4552" s="2" t="s">
        <v>4307</v>
      </c>
      <c r="C4552" s="2" t="s">
        <v>4608</v>
      </c>
      <c r="D4552" s="3" t="str">
        <f t="shared" si="642"/>
        <v>12Go Link</v>
      </c>
      <c r="E4552" s="2" t="s">
        <v>192</v>
      </c>
    </row>
    <row r="4553">
      <c r="A4553" s="2" t="s">
        <v>4307</v>
      </c>
      <c r="B4553" s="2" t="s">
        <v>4307</v>
      </c>
      <c r="C4553" s="2" t="s">
        <v>4608</v>
      </c>
      <c r="D4553" s="3" t="str">
        <f t="shared" si="642"/>
        <v>12Go Link</v>
      </c>
      <c r="E4553" s="2" t="s">
        <v>193</v>
      </c>
    </row>
    <row r="4554">
      <c r="A4554" s="2" t="s">
        <v>4307</v>
      </c>
      <c r="B4554" s="2" t="s">
        <v>4307</v>
      </c>
      <c r="C4554" s="2" t="s">
        <v>4609</v>
      </c>
      <c r="D4554" s="3" t="str">
        <f t="shared" ref="D4554:D4556" si="643">HYPERLINK("https://12go.asia/en/travel/Chief-Dawid-Stuurman-Intl-Airport/Mount-Pleasant-Transfer", "12Go Link")</f>
        <v>12Go Link</v>
      </c>
      <c r="E4554" s="2" t="s">
        <v>191</v>
      </c>
    </row>
    <row r="4555">
      <c r="A4555" s="2" t="s">
        <v>4307</v>
      </c>
      <c r="B4555" s="2" t="s">
        <v>4307</v>
      </c>
      <c r="C4555" s="2" t="s">
        <v>4609</v>
      </c>
      <c r="D4555" s="3" t="str">
        <f t="shared" si="643"/>
        <v>12Go Link</v>
      </c>
      <c r="E4555" s="2" t="s">
        <v>192</v>
      </c>
    </row>
    <row r="4556">
      <c r="A4556" s="2" t="s">
        <v>4307</v>
      </c>
      <c r="B4556" s="2" t="s">
        <v>4307</v>
      </c>
      <c r="C4556" s="2" t="s">
        <v>4609</v>
      </c>
      <c r="D4556" s="3" t="str">
        <f t="shared" si="643"/>
        <v>12Go Link</v>
      </c>
      <c r="E4556" s="2" t="s">
        <v>193</v>
      </c>
    </row>
    <row r="4557">
      <c r="A4557" s="2" t="s">
        <v>4307</v>
      </c>
      <c r="B4557" s="2" t="s">
        <v>4307</v>
      </c>
      <c r="C4557" s="2" t="s">
        <v>4610</v>
      </c>
      <c r="D4557" s="3" t="str">
        <f t="shared" ref="D4557:D4559" si="644">HYPERLINK("https://12go.asia/en/travel/Chief-Dawid-Stuurman-Intl-Airport/Mount-Road-Transfer", "12Go Link")</f>
        <v>12Go Link</v>
      </c>
      <c r="E4557" s="2" t="s">
        <v>191</v>
      </c>
    </row>
    <row r="4558">
      <c r="A4558" s="2" t="s">
        <v>4307</v>
      </c>
      <c r="B4558" s="2" t="s">
        <v>4307</v>
      </c>
      <c r="C4558" s="2" t="s">
        <v>4610</v>
      </c>
      <c r="D4558" s="3" t="str">
        <f t="shared" si="644"/>
        <v>12Go Link</v>
      </c>
      <c r="E4558" s="2" t="s">
        <v>192</v>
      </c>
    </row>
    <row r="4559">
      <c r="A4559" s="2" t="s">
        <v>4307</v>
      </c>
      <c r="B4559" s="2" t="s">
        <v>4307</v>
      </c>
      <c r="C4559" s="2" t="s">
        <v>4610</v>
      </c>
      <c r="D4559" s="3" t="str">
        <f t="shared" si="644"/>
        <v>12Go Link</v>
      </c>
      <c r="E4559" s="2" t="s">
        <v>193</v>
      </c>
    </row>
    <row r="4560">
      <c r="A4560" s="2" t="s">
        <v>4307</v>
      </c>
      <c r="B4560" s="2" t="s">
        <v>4307</v>
      </c>
      <c r="C4560" s="2" t="s">
        <v>4611</v>
      </c>
      <c r="D4560" s="3" t="str">
        <f t="shared" ref="D4560:D4562" si="645">HYPERLINK("https://12go.asia/en/travel/Chief-Dawid-Stuurman-Intl-Airport/Nelson-Mandela-Bay-Stadium-Transfer", "12Go Link")</f>
        <v>12Go Link</v>
      </c>
      <c r="E4560" s="2" t="s">
        <v>191</v>
      </c>
    </row>
    <row r="4561">
      <c r="A4561" s="2" t="s">
        <v>4307</v>
      </c>
      <c r="B4561" s="2" t="s">
        <v>4307</v>
      </c>
      <c r="C4561" s="2" t="s">
        <v>4611</v>
      </c>
      <c r="D4561" s="3" t="str">
        <f t="shared" si="645"/>
        <v>12Go Link</v>
      </c>
      <c r="E4561" s="2" t="s">
        <v>192</v>
      </c>
    </row>
    <row r="4562">
      <c r="A4562" s="2" t="s">
        <v>4307</v>
      </c>
      <c r="B4562" s="2" t="s">
        <v>4307</v>
      </c>
      <c r="C4562" s="2" t="s">
        <v>4611</v>
      </c>
      <c r="D4562" s="3" t="str">
        <f t="shared" si="645"/>
        <v>12Go Link</v>
      </c>
      <c r="E4562" s="2" t="s">
        <v>193</v>
      </c>
    </row>
    <row r="4563">
      <c r="A4563" s="2" t="s">
        <v>4307</v>
      </c>
      <c r="B4563" s="2" t="s">
        <v>4307</v>
      </c>
      <c r="C4563" s="2" t="s">
        <v>4612</v>
      </c>
      <c r="D4563" s="3" t="str">
        <f t="shared" ref="D4563:D4565" si="646">HYPERLINK("https://12go.asia/en/travel/Chief-Dawid-Stuurman-Intl-Airport/Nelson-Mandela-Voting-Line-Sculpture-Transfer", "12Go Link")</f>
        <v>12Go Link</v>
      </c>
      <c r="E4563" s="2" t="s">
        <v>191</v>
      </c>
    </row>
    <row r="4564">
      <c r="A4564" s="2" t="s">
        <v>4307</v>
      </c>
      <c r="B4564" s="2" t="s">
        <v>4307</v>
      </c>
      <c r="C4564" s="2" t="s">
        <v>4612</v>
      </c>
      <c r="D4564" s="3" t="str">
        <f t="shared" si="646"/>
        <v>12Go Link</v>
      </c>
      <c r="E4564" s="2" t="s">
        <v>192</v>
      </c>
    </row>
    <row r="4565">
      <c r="A4565" s="2" t="s">
        <v>4307</v>
      </c>
      <c r="B4565" s="2" t="s">
        <v>4307</v>
      </c>
      <c r="C4565" s="2" t="s">
        <v>4612</v>
      </c>
      <c r="D4565" s="3" t="str">
        <f t="shared" si="646"/>
        <v>12Go Link</v>
      </c>
      <c r="E4565" s="2" t="s">
        <v>193</v>
      </c>
    </row>
    <row r="4566">
      <c r="A4566" s="2" t="s">
        <v>4307</v>
      </c>
      <c r="B4566" s="2" t="s">
        <v>4307</v>
      </c>
      <c r="C4566" s="2" t="s">
        <v>4613</v>
      </c>
      <c r="D4566" s="3" t="str">
        <f t="shared" ref="D4566:D4568" si="647">HYPERLINK("https://12go.asia/en/travel/Chief-Dawid-Stuurman-Intl-Airport/Newton-Park-Transfer", "12Go Link")</f>
        <v>12Go Link</v>
      </c>
      <c r="E4566" s="2" t="s">
        <v>191</v>
      </c>
    </row>
    <row r="4567">
      <c r="A4567" s="2" t="s">
        <v>4307</v>
      </c>
      <c r="B4567" s="2" t="s">
        <v>4307</v>
      </c>
      <c r="C4567" s="2" t="s">
        <v>4613</v>
      </c>
      <c r="D4567" s="3" t="str">
        <f t="shared" si="647"/>
        <v>12Go Link</v>
      </c>
      <c r="E4567" s="2" t="s">
        <v>192</v>
      </c>
    </row>
    <row r="4568">
      <c r="A4568" s="2" t="s">
        <v>4307</v>
      </c>
      <c r="B4568" s="2" t="s">
        <v>4307</v>
      </c>
      <c r="C4568" s="2" t="s">
        <v>4613</v>
      </c>
      <c r="D4568" s="3" t="str">
        <f t="shared" si="647"/>
        <v>12Go Link</v>
      </c>
      <c r="E4568" s="2" t="s">
        <v>193</v>
      </c>
    </row>
    <row r="4569">
      <c r="A4569" s="2" t="s">
        <v>4307</v>
      </c>
      <c r="B4569" s="2" t="s">
        <v>4307</v>
      </c>
      <c r="C4569" s="2" t="s">
        <v>4614</v>
      </c>
      <c r="D4569" s="3" t="str">
        <f t="shared" ref="D4569:D4571" si="648">HYPERLINK("https://12go.asia/en/travel/Chief-Dawid-Stuurman-Intl-Airport/Old-Harbour-Board-Building-Transfer", "12Go Link")</f>
        <v>12Go Link</v>
      </c>
      <c r="E4569" s="2" t="s">
        <v>191</v>
      </c>
    </row>
    <row r="4570">
      <c r="A4570" s="2" t="s">
        <v>4307</v>
      </c>
      <c r="B4570" s="2" t="s">
        <v>4307</v>
      </c>
      <c r="C4570" s="2" t="s">
        <v>4614</v>
      </c>
      <c r="D4570" s="3" t="str">
        <f t="shared" si="648"/>
        <v>12Go Link</v>
      </c>
      <c r="E4570" s="2" t="s">
        <v>192</v>
      </c>
    </row>
    <row r="4571">
      <c r="A4571" s="2" t="s">
        <v>4307</v>
      </c>
      <c r="B4571" s="2" t="s">
        <v>4307</v>
      </c>
      <c r="C4571" s="2" t="s">
        <v>4614</v>
      </c>
      <c r="D4571" s="3" t="str">
        <f t="shared" si="648"/>
        <v>12Go Link</v>
      </c>
      <c r="E4571" s="2" t="s">
        <v>193</v>
      </c>
    </row>
    <row r="4572">
      <c r="A4572" s="2" t="s">
        <v>4307</v>
      </c>
      <c r="B4572" s="2" t="s">
        <v>4307</v>
      </c>
      <c r="C4572" s="2" t="s">
        <v>4615</v>
      </c>
      <c r="D4572" s="3" t="str">
        <f t="shared" ref="D4572:D4574" si="649">HYPERLINK("https://12go.asia/en/travel/Chief-Dawid-Stuurman-Intl-Airport/PE-Central-Transfer", "12Go Link")</f>
        <v>12Go Link</v>
      </c>
      <c r="E4572" s="2" t="s">
        <v>191</v>
      </c>
    </row>
    <row r="4573">
      <c r="A4573" s="2" t="s">
        <v>4307</v>
      </c>
      <c r="B4573" s="2" t="s">
        <v>4307</v>
      </c>
      <c r="C4573" s="2" t="s">
        <v>4615</v>
      </c>
      <c r="D4573" s="3" t="str">
        <f t="shared" si="649"/>
        <v>12Go Link</v>
      </c>
      <c r="E4573" s="2" t="s">
        <v>192</v>
      </c>
    </row>
    <row r="4574">
      <c r="A4574" s="2" t="s">
        <v>4307</v>
      </c>
      <c r="B4574" s="2" t="s">
        <v>4307</v>
      </c>
      <c r="C4574" s="2" t="s">
        <v>4615</v>
      </c>
      <c r="D4574" s="3" t="str">
        <f t="shared" si="649"/>
        <v>12Go Link</v>
      </c>
      <c r="E4574" s="2" t="s">
        <v>193</v>
      </c>
    </row>
    <row r="4575">
      <c r="A4575" s="2" t="s">
        <v>4307</v>
      </c>
      <c r="B4575" s="2" t="s">
        <v>4307</v>
      </c>
      <c r="C4575" s="2" t="s">
        <v>4616</v>
      </c>
      <c r="D4575" s="3" t="str">
        <f t="shared" ref="D4575:D4577" si="650">HYPERLINK("https://12go.asia/en/travel/Chief-Dawid-Stuurman-Intl-Airport/Port-Elizabeth-Central-Transfer", "12Go Link")</f>
        <v>12Go Link</v>
      </c>
      <c r="E4575" s="2" t="s">
        <v>191</v>
      </c>
    </row>
    <row r="4576">
      <c r="A4576" s="2" t="s">
        <v>4307</v>
      </c>
      <c r="B4576" s="2" t="s">
        <v>4307</v>
      </c>
      <c r="C4576" s="2" t="s">
        <v>4616</v>
      </c>
      <c r="D4576" s="3" t="str">
        <f t="shared" si="650"/>
        <v>12Go Link</v>
      </c>
      <c r="E4576" s="2" t="s">
        <v>192</v>
      </c>
    </row>
    <row r="4577">
      <c r="A4577" s="2" t="s">
        <v>4307</v>
      </c>
      <c r="B4577" s="2" t="s">
        <v>4307</v>
      </c>
      <c r="C4577" s="2" t="s">
        <v>4616</v>
      </c>
      <c r="D4577" s="3" t="str">
        <f t="shared" si="650"/>
        <v>12Go Link</v>
      </c>
      <c r="E4577" s="2" t="s">
        <v>193</v>
      </c>
    </row>
    <row r="4578">
      <c r="A4578" s="2" t="s">
        <v>4307</v>
      </c>
      <c r="B4578" s="2" t="s">
        <v>4307</v>
      </c>
      <c r="C4578" s="2" t="s">
        <v>4617</v>
      </c>
      <c r="D4578" s="3" t="str">
        <f t="shared" ref="D4578:D4580" si="651">HYPERLINK("https://12go.asia/en/travel/Chief-Dawid-Stuurman-Intl-Airport/Sacramento-Cannon-Transfer", "12Go Link")</f>
        <v>12Go Link</v>
      </c>
      <c r="E4578" s="2" t="s">
        <v>191</v>
      </c>
    </row>
    <row r="4579">
      <c r="A4579" s="2" t="s">
        <v>4307</v>
      </c>
      <c r="B4579" s="2" t="s">
        <v>4307</v>
      </c>
      <c r="C4579" s="2" t="s">
        <v>4617</v>
      </c>
      <c r="D4579" s="3" t="str">
        <f t="shared" si="651"/>
        <v>12Go Link</v>
      </c>
      <c r="E4579" s="2" t="s">
        <v>192</v>
      </c>
    </row>
    <row r="4580">
      <c r="A4580" s="2" t="s">
        <v>4307</v>
      </c>
      <c r="B4580" s="2" t="s">
        <v>4307</v>
      </c>
      <c r="C4580" s="2" t="s">
        <v>4617</v>
      </c>
      <c r="D4580" s="3" t="str">
        <f t="shared" si="651"/>
        <v>12Go Link</v>
      </c>
      <c r="E4580" s="2" t="s">
        <v>193</v>
      </c>
    </row>
    <row r="4581">
      <c r="A4581" s="2" t="s">
        <v>4307</v>
      </c>
      <c r="B4581" s="2" t="s">
        <v>4307</v>
      </c>
      <c r="C4581" s="2" t="s">
        <v>4618</v>
      </c>
      <c r="D4581" s="3" t="str">
        <f t="shared" ref="D4581:D4583" si="652">HYPERLINK("https://12go.asia/en/travel/Chief-Dawid-Stuurman-Intl-Airport/Settlers-Park-Nature-Reserve-Transfer", "12Go Link")</f>
        <v>12Go Link</v>
      </c>
      <c r="E4581" s="2" t="s">
        <v>191</v>
      </c>
    </row>
    <row r="4582">
      <c r="A4582" s="2" t="s">
        <v>4307</v>
      </c>
      <c r="B4582" s="2" t="s">
        <v>4307</v>
      </c>
      <c r="C4582" s="2" t="s">
        <v>4618</v>
      </c>
      <c r="D4582" s="3" t="str">
        <f t="shared" si="652"/>
        <v>12Go Link</v>
      </c>
      <c r="E4582" s="2" t="s">
        <v>192</v>
      </c>
    </row>
    <row r="4583">
      <c r="A4583" s="2" t="s">
        <v>4307</v>
      </c>
      <c r="B4583" s="2" t="s">
        <v>4307</v>
      </c>
      <c r="C4583" s="2" t="s">
        <v>4618</v>
      </c>
      <c r="D4583" s="3" t="str">
        <f t="shared" si="652"/>
        <v>12Go Link</v>
      </c>
      <c r="E4583" s="2" t="s">
        <v>193</v>
      </c>
    </row>
    <row r="4584">
      <c r="A4584" s="2" t="s">
        <v>4307</v>
      </c>
      <c r="B4584" s="2" t="s">
        <v>4307</v>
      </c>
      <c r="C4584" s="2" t="s">
        <v>4619</v>
      </c>
      <c r="D4584" s="3" t="str">
        <f t="shared" ref="D4584:D4586" si="653">HYPERLINK("https://12go.asia/en/travel/Chief-Dawid-Stuurman-Intl-Airport/Summerstrand/Bay-Area-Transfer", "12Go Link")</f>
        <v>12Go Link</v>
      </c>
      <c r="E4584" s="2" t="s">
        <v>191</v>
      </c>
    </row>
    <row r="4585">
      <c r="A4585" s="2" t="s">
        <v>4307</v>
      </c>
      <c r="B4585" s="2" t="s">
        <v>4307</v>
      </c>
      <c r="C4585" s="2" t="s">
        <v>4619</v>
      </c>
      <c r="D4585" s="3" t="str">
        <f t="shared" si="653"/>
        <v>12Go Link</v>
      </c>
      <c r="E4585" s="2" t="s">
        <v>192</v>
      </c>
    </row>
    <row r="4586">
      <c r="A4586" s="2" t="s">
        <v>4307</v>
      </c>
      <c r="B4586" s="2" t="s">
        <v>4307</v>
      </c>
      <c r="C4586" s="2" t="s">
        <v>4619</v>
      </c>
      <c r="D4586" s="3" t="str">
        <f t="shared" si="653"/>
        <v>12Go Link</v>
      </c>
      <c r="E4586" s="2" t="s">
        <v>193</v>
      </c>
    </row>
    <row r="4587">
      <c r="A4587" s="2" t="s">
        <v>4307</v>
      </c>
      <c r="B4587" s="2" t="s">
        <v>4307</v>
      </c>
      <c r="C4587" s="2" t="s">
        <v>4620</v>
      </c>
      <c r="D4587" s="3" t="str">
        <f t="shared" ref="D4587:D4589" si="654">HYPERLINK("https://12go.asia/en/travel/Chief-Dawid-Stuurman-Intl-Airport/Sunridge-Park-Transfer", "12Go Link")</f>
        <v>12Go Link</v>
      </c>
      <c r="E4587" s="2" t="s">
        <v>191</v>
      </c>
    </row>
    <row r="4588">
      <c r="A4588" s="2" t="s">
        <v>4307</v>
      </c>
      <c r="B4588" s="2" t="s">
        <v>4307</v>
      </c>
      <c r="C4588" s="2" t="s">
        <v>4620</v>
      </c>
      <c r="D4588" s="3" t="str">
        <f t="shared" si="654"/>
        <v>12Go Link</v>
      </c>
      <c r="E4588" s="2" t="s">
        <v>192</v>
      </c>
    </row>
    <row r="4589">
      <c r="A4589" s="2" t="s">
        <v>4307</v>
      </c>
      <c r="B4589" s="2" t="s">
        <v>4307</v>
      </c>
      <c r="C4589" s="2" t="s">
        <v>4620</v>
      </c>
      <c r="D4589" s="3" t="str">
        <f t="shared" si="654"/>
        <v>12Go Link</v>
      </c>
      <c r="E4589" s="2" t="s">
        <v>193</v>
      </c>
    </row>
    <row r="4590">
      <c r="A4590" s="2" t="s">
        <v>4307</v>
      </c>
      <c r="B4590" s="2" t="s">
        <v>4307</v>
      </c>
      <c r="C4590" s="2" t="s">
        <v>4621</v>
      </c>
      <c r="D4590" s="3" t="str">
        <f t="shared" ref="D4590:D4592" si="655">HYPERLINK("https://12go.asia/en/travel/Chief-Dawid-Stuurman-Intl-Airport/Walmer-Transfer", "12Go Link")</f>
        <v>12Go Link</v>
      </c>
      <c r="E4590" s="2" t="s">
        <v>191</v>
      </c>
    </row>
    <row r="4591">
      <c r="A4591" s="2" t="s">
        <v>4307</v>
      </c>
      <c r="B4591" s="2" t="s">
        <v>4307</v>
      </c>
      <c r="C4591" s="2" t="s">
        <v>4621</v>
      </c>
      <c r="D4591" s="3" t="str">
        <f t="shared" si="655"/>
        <v>12Go Link</v>
      </c>
      <c r="E4591" s="2" t="s">
        <v>192</v>
      </c>
    </row>
    <row r="4592">
      <c r="A4592" s="2" t="s">
        <v>4307</v>
      </c>
      <c r="B4592" s="2" t="s">
        <v>4307</v>
      </c>
      <c r="C4592" s="2" t="s">
        <v>4621</v>
      </c>
      <c r="D4592" s="3" t="str">
        <f t="shared" si="655"/>
        <v>12Go Link</v>
      </c>
      <c r="E4592" s="2" t="s">
        <v>193</v>
      </c>
    </row>
    <row r="4593">
      <c r="A4593" s="2" t="s">
        <v>4307</v>
      </c>
      <c r="B4593" s="2" t="s">
        <v>4307</v>
      </c>
      <c r="C4593" s="2" t="s">
        <v>4622</v>
      </c>
      <c r="D4593" s="3" t="str">
        <f t="shared" ref="D4593:D4595" si="656">HYPERLINK("https://12go.asia/en/travel/Cora-Terrace-Transfer/Chief-Dawid-Stuurman-Intl-Airport", "12Go Link")</f>
        <v>12Go Link</v>
      </c>
      <c r="E4593" s="2" t="s">
        <v>191</v>
      </c>
    </row>
    <row r="4594">
      <c r="A4594" s="2" t="s">
        <v>4307</v>
      </c>
      <c r="B4594" s="2" t="s">
        <v>4307</v>
      </c>
      <c r="C4594" s="2" t="s">
        <v>4622</v>
      </c>
      <c r="D4594" s="3" t="str">
        <f t="shared" si="656"/>
        <v>12Go Link</v>
      </c>
      <c r="E4594" s="2" t="s">
        <v>192</v>
      </c>
    </row>
    <row r="4595">
      <c r="A4595" s="2" t="s">
        <v>4307</v>
      </c>
      <c r="B4595" s="2" t="s">
        <v>4307</v>
      </c>
      <c r="C4595" s="2" t="s">
        <v>4622</v>
      </c>
      <c r="D4595" s="3" t="str">
        <f t="shared" si="656"/>
        <v>12Go Link</v>
      </c>
      <c r="E4595" s="2" t="s">
        <v>193</v>
      </c>
    </row>
    <row r="4596">
      <c r="A4596" s="2" t="s">
        <v>4307</v>
      </c>
      <c r="B4596" s="2" t="s">
        <v>4307</v>
      </c>
      <c r="C4596" s="2" t="s">
        <v>4623</v>
      </c>
      <c r="D4596" s="3" t="str">
        <f t="shared" ref="D4596:D4598" si="657">HYPERLINK("https://12go.asia/en/travel/Donkin-Heritage-Trail-Transfer/Chief-Dawid-Stuurman-Intl-Airport", "12Go Link")</f>
        <v>12Go Link</v>
      </c>
      <c r="E4596" s="2" t="s">
        <v>191</v>
      </c>
    </row>
    <row r="4597">
      <c r="A4597" s="2" t="s">
        <v>4307</v>
      </c>
      <c r="B4597" s="2" t="s">
        <v>4307</v>
      </c>
      <c r="C4597" s="2" t="s">
        <v>4623</v>
      </c>
      <c r="D4597" s="3" t="str">
        <f t="shared" si="657"/>
        <v>12Go Link</v>
      </c>
      <c r="E4597" s="2" t="s">
        <v>192</v>
      </c>
    </row>
    <row r="4598">
      <c r="A4598" s="2" t="s">
        <v>4307</v>
      </c>
      <c r="B4598" s="2" t="s">
        <v>4307</v>
      </c>
      <c r="C4598" s="2" t="s">
        <v>4623</v>
      </c>
      <c r="D4598" s="3" t="str">
        <f t="shared" si="657"/>
        <v>12Go Link</v>
      </c>
      <c r="E4598" s="2" t="s">
        <v>193</v>
      </c>
    </row>
    <row r="4599">
      <c r="A4599" s="2" t="s">
        <v>4307</v>
      </c>
      <c r="B4599" s="2" t="s">
        <v>4307</v>
      </c>
      <c r="C4599" s="2" t="s">
        <v>4624</v>
      </c>
      <c r="D4599" s="3" t="str">
        <f t="shared" ref="D4599:D4601" si="658">HYPERLINK("https://12go.asia/en/travel/Eastern-Cape-Beaches-Transfer/Chief-Dawid-Stuurman-Intl-Airport", "12Go Link")</f>
        <v>12Go Link</v>
      </c>
      <c r="E4599" s="2" t="s">
        <v>191</v>
      </c>
    </row>
    <row r="4600">
      <c r="A4600" s="2" t="s">
        <v>4307</v>
      </c>
      <c r="B4600" s="2" t="s">
        <v>4307</v>
      </c>
      <c r="C4600" s="2" t="s">
        <v>4624</v>
      </c>
      <c r="D4600" s="3" t="str">
        <f t="shared" si="658"/>
        <v>12Go Link</v>
      </c>
      <c r="E4600" s="2" t="s">
        <v>192</v>
      </c>
    </row>
    <row r="4601">
      <c r="A4601" s="2" t="s">
        <v>4307</v>
      </c>
      <c r="B4601" s="2" t="s">
        <v>4307</v>
      </c>
      <c r="C4601" s="2" t="s">
        <v>4624</v>
      </c>
      <c r="D4601" s="3" t="str">
        <f t="shared" si="658"/>
        <v>12Go Link</v>
      </c>
      <c r="E4601" s="2" t="s">
        <v>193</v>
      </c>
    </row>
    <row r="4602">
      <c r="A4602" s="2" t="s">
        <v>4307</v>
      </c>
      <c r="B4602" s="2" t="s">
        <v>4307</v>
      </c>
      <c r="C4602" s="2" t="s">
        <v>4625</v>
      </c>
      <c r="D4602" s="3" t="str">
        <f t="shared" ref="D4602:D4604" si="659">HYPERLINK("https://12go.asia/en/travel/Fort-Frederick-Transfer/Chief-Dawid-Stuurman-Intl-Airport", "12Go Link")</f>
        <v>12Go Link</v>
      </c>
      <c r="E4602" s="2" t="s">
        <v>191</v>
      </c>
    </row>
    <row r="4603">
      <c r="A4603" s="2" t="s">
        <v>4307</v>
      </c>
      <c r="B4603" s="2" t="s">
        <v>4307</v>
      </c>
      <c r="C4603" s="2" t="s">
        <v>4625</v>
      </c>
      <c r="D4603" s="3" t="str">
        <f t="shared" si="659"/>
        <v>12Go Link</v>
      </c>
      <c r="E4603" s="2" t="s">
        <v>192</v>
      </c>
    </row>
    <row r="4604">
      <c r="A4604" s="2" t="s">
        <v>4307</v>
      </c>
      <c r="B4604" s="2" t="s">
        <v>4307</v>
      </c>
      <c r="C4604" s="2" t="s">
        <v>4625</v>
      </c>
      <c r="D4604" s="3" t="str">
        <f t="shared" si="659"/>
        <v>12Go Link</v>
      </c>
      <c r="E4604" s="2" t="s">
        <v>193</v>
      </c>
    </row>
    <row r="4605">
      <c r="A4605" s="2" t="s">
        <v>4307</v>
      </c>
      <c r="B4605" s="2" t="s">
        <v>4307</v>
      </c>
      <c r="C4605" s="2" t="s">
        <v>4626</v>
      </c>
      <c r="D4605" s="3" t="str">
        <f t="shared" ref="D4605:D4607" si="660">HYPERLINK("https://12go.asia/en/travel/Groendal-Nature-Reserve-Transfer/Chief-Dawid-Stuurman-Intl-Airport", "12Go Link")</f>
        <v>12Go Link</v>
      </c>
      <c r="E4605" s="2" t="s">
        <v>191</v>
      </c>
    </row>
    <row r="4606">
      <c r="A4606" s="2" t="s">
        <v>4307</v>
      </c>
      <c r="B4606" s="2" t="s">
        <v>4307</v>
      </c>
      <c r="C4606" s="2" t="s">
        <v>4626</v>
      </c>
      <c r="D4606" s="3" t="str">
        <f t="shared" si="660"/>
        <v>12Go Link</v>
      </c>
      <c r="E4606" s="2" t="s">
        <v>192</v>
      </c>
    </row>
    <row r="4607">
      <c r="A4607" s="2" t="s">
        <v>4307</v>
      </c>
      <c r="B4607" s="2" t="s">
        <v>4307</v>
      </c>
      <c r="C4607" s="2" t="s">
        <v>4626</v>
      </c>
      <c r="D4607" s="3" t="str">
        <f t="shared" si="660"/>
        <v>12Go Link</v>
      </c>
      <c r="E4607" s="2" t="s">
        <v>193</v>
      </c>
    </row>
    <row r="4608">
      <c r="A4608" s="2" t="s">
        <v>4307</v>
      </c>
      <c r="B4608" s="2" t="s">
        <v>4307</v>
      </c>
      <c r="C4608" s="2" t="s">
        <v>4627</v>
      </c>
      <c r="D4608" s="3" t="str">
        <f t="shared" ref="D4608:D4610" si="661">HYPERLINK("https://12go.asia/en/travel/Humewood-Golf-Club-Transfer/Chief-Dawid-Stuurman-Intl-Airport", "12Go Link")</f>
        <v>12Go Link</v>
      </c>
      <c r="E4608" s="2" t="s">
        <v>191</v>
      </c>
    </row>
    <row r="4609">
      <c r="A4609" s="2" t="s">
        <v>4307</v>
      </c>
      <c r="B4609" s="2" t="s">
        <v>4307</v>
      </c>
      <c r="C4609" s="2" t="s">
        <v>4627</v>
      </c>
      <c r="D4609" s="3" t="str">
        <f t="shared" si="661"/>
        <v>12Go Link</v>
      </c>
      <c r="E4609" s="2" t="s">
        <v>192</v>
      </c>
    </row>
    <row r="4610">
      <c r="A4610" s="2" t="s">
        <v>4307</v>
      </c>
      <c r="B4610" s="2" t="s">
        <v>4307</v>
      </c>
      <c r="C4610" s="2" t="s">
        <v>4627</v>
      </c>
      <c r="D4610" s="3" t="str">
        <f t="shared" si="661"/>
        <v>12Go Link</v>
      </c>
      <c r="E4610" s="2" t="s">
        <v>193</v>
      </c>
    </row>
    <row r="4611">
      <c r="A4611" s="2" t="s">
        <v>4307</v>
      </c>
      <c r="B4611" s="2" t="s">
        <v>4307</v>
      </c>
      <c r="C4611" s="2" t="s">
        <v>4628</v>
      </c>
      <c r="D4611" s="3" t="str">
        <f t="shared" ref="D4611:D4613" si="662">HYPERLINK("https://12go.asia/en/travel/Humewood-Transfer/Chief-Dawid-Stuurman-Intl-Airport", "12Go Link")</f>
        <v>12Go Link</v>
      </c>
      <c r="E4611" s="2" t="s">
        <v>191</v>
      </c>
    </row>
    <row r="4612">
      <c r="A4612" s="2" t="s">
        <v>4307</v>
      </c>
      <c r="B4612" s="2" t="s">
        <v>4307</v>
      </c>
      <c r="C4612" s="2" t="s">
        <v>4628</v>
      </c>
      <c r="D4612" s="3" t="str">
        <f t="shared" si="662"/>
        <v>12Go Link</v>
      </c>
      <c r="E4612" s="2" t="s">
        <v>192</v>
      </c>
    </row>
    <row r="4613">
      <c r="A4613" s="2" t="s">
        <v>4307</v>
      </c>
      <c r="B4613" s="2" t="s">
        <v>4307</v>
      </c>
      <c r="C4613" s="2" t="s">
        <v>4628</v>
      </c>
      <c r="D4613" s="3" t="str">
        <f t="shared" si="662"/>
        <v>12Go Link</v>
      </c>
      <c r="E4613" s="2" t="s">
        <v>193</v>
      </c>
    </row>
    <row r="4614">
      <c r="A4614" s="2" t="s">
        <v>4307</v>
      </c>
      <c r="B4614" s="2" t="s">
        <v>4307</v>
      </c>
      <c r="C4614" s="2" t="s">
        <v>4629</v>
      </c>
      <c r="D4614" s="3" t="str">
        <f t="shared" ref="D4614:D4616" si="663">HYPERLINK("https://12go.asia/en/travel/iBhayi-Sunshine-Saunter-Route-Transfer/Chief-Dawid-Stuurman-Intl-Airport", "12Go Link")</f>
        <v>12Go Link</v>
      </c>
      <c r="E4614" s="2" t="s">
        <v>191</v>
      </c>
    </row>
    <row r="4615">
      <c r="A4615" s="2" t="s">
        <v>4307</v>
      </c>
      <c r="B4615" s="2" t="s">
        <v>4307</v>
      </c>
      <c r="C4615" s="2" t="s">
        <v>4629</v>
      </c>
      <c r="D4615" s="3" t="str">
        <f t="shared" si="663"/>
        <v>12Go Link</v>
      </c>
      <c r="E4615" s="2" t="s">
        <v>192</v>
      </c>
    </row>
    <row r="4616">
      <c r="A4616" s="2" t="s">
        <v>4307</v>
      </c>
      <c r="B4616" s="2" t="s">
        <v>4307</v>
      </c>
      <c r="C4616" s="2" t="s">
        <v>4629</v>
      </c>
      <c r="D4616" s="3" t="str">
        <f t="shared" si="663"/>
        <v>12Go Link</v>
      </c>
      <c r="E4616" s="2" t="s">
        <v>193</v>
      </c>
    </row>
    <row r="4617">
      <c r="A4617" s="2" t="s">
        <v>4307</v>
      </c>
      <c r="B4617" s="2" t="s">
        <v>4307</v>
      </c>
      <c r="C4617" s="2" t="s">
        <v>4630</v>
      </c>
      <c r="D4617" s="3" t="str">
        <f t="shared" ref="D4617:D4619" si="664">HYPERLINK("https://12go.asia/en/travel/Island-Nature-Reserve-Transfer/Chief-Dawid-Stuurman-Intl-Airport", "12Go Link")</f>
        <v>12Go Link</v>
      </c>
      <c r="E4617" s="2" t="s">
        <v>191</v>
      </c>
    </row>
    <row r="4618">
      <c r="A4618" s="2" t="s">
        <v>4307</v>
      </c>
      <c r="B4618" s="2" t="s">
        <v>4307</v>
      </c>
      <c r="C4618" s="2" t="s">
        <v>4630</v>
      </c>
      <c r="D4618" s="3" t="str">
        <f t="shared" si="664"/>
        <v>12Go Link</v>
      </c>
      <c r="E4618" s="2" t="s">
        <v>192</v>
      </c>
    </row>
    <row r="4619">
      <c r="A4619" s="2" t="s">
        <v>4307</v>
      </c>
      <c r="B4619" s="2" t="s">
        <v>4307</v>
      </c>
      <c r="C4619" s="2" t="s">
        <v>4630</v>
      </c>
      <c r="D4619" s="3" t="str">
        <f t="shared" si="664"/>
        <v>12Go Link</v>
      </c>
      <c r="E4619" s="2" t="s">
        <v>193</v>
      </c>
    </row>
    <row r="4620">
      <c r="A4620" s="2" t="s">
        <v>4307</v>
      </c>
      <c r="B4620" s="2" t="s">
        <v>4307</v>
      </c>
      <c r="C4620" s="2" t="s">
        <v>4631</v>
      </c>
      <c r="D4620" s="3" t="str">
        <f t="shared" ref="D4620:D4622" si="665">HYPERLINK("https://12go.asia/en/travel/Kragga-Kamma-Game-Park-Transfer/Chief-Dawid-Stuurman-Intl-Airport", "12Go Link")</f>
        <v>12Go Link</v>
      </c>
      <c r="E4620" s="2" t="s">
        <v>191</v>
      </c>
    </row>
    <row r="4621">
      <c r="A4621" s="2" t="s">
        <v>4307</v>
      </c>
      <c r="B4621" s="2" t="s">
        <v>4307</v>
      </c>
      <c r="C4621" s="2" t="s">
        <v>4631</v>
      </c>
      <c r="D4621" s="3" t="str">
        <f t="shared" si="665"/>
        <v>12Go Link</v>
      </c>
      <c r="E4621" s="2" t="s">
        <v>192</v>
      </c>
    </row>
    <row r="4622">
      <c r="A4622" s="2" t="s">
        <v>4307</v>
      </c>
      <c r="B4622" s="2" t="s">
        <v>4307</v>
      </c>
      <c r="C4622" s="2" t="s">
        <v>4631</v>
      </c>
      <c r="D4622" s="3" t="str">
        <f t="shared" si="665"/>
        <v>12Go Link</v>
      </c>
      <c r="E4622" s="2" t="s">
        <v>193</v>
      </c>
    </row>
    <row r="4623">
      <c r="A4623" s="2" t="s">
        <v>4307</v>
      </c>
      <c r="B4623" s="2" t="s">
        <v>4307</v>
      </c>
      <c r="C4623" s="2" t="s">
        <v>4632</v>
      </c>
      <c r="D4623" s="3" t="str">
        <f t="shared" ref="D4623:D4625" si="666">HYPERLINK("https://12go.asia/en/travel/Kwamagxaki/Motherwell-Transfer/Chief-Dawid-Stuurman-Intl-Airport", "12Go Link")</f>
        <v>12Go Link</v>
      </c>
      <c r="E4623" s="2" t="s">
        <v>191</v>
      </c>
    </row>
    <row r="4624">
      <c r="A4624" s="2" t="s">
        <v>4307</v>
      </c>
      <c r="B4624" s="2" t="s">
        <v>4307</v>
      </c>
      <c r="C4624" s="2" t="s">
        <v>4632</v>
      </c>
      <c r="D4624" s="3" t="str">
        <f t="shared" si="666"/>
        <v>12Go Link</v>
      </c>
      <c r="E4624" s="2" t="s">
        <v>192</v>
      </c>
    </row>
    <row r="4625">
      <c r="A4625" s="2" t="s">
        <v>4307</v>
      </c>
      <c r="B4625" s="2" t="s">
        <v>4307</v>
      </c>
      <c r="C4625" s="2" t="s">
        <v>4632</v>
      </c>
      <c r="D4625" s="3" t="str">
        <f t="shared" si="666"/>
        <v>12Go Link</v>
      </c>
      <c r="E4625" s="2" t="s">
        <v>193</v>
      </c>
    </row>
    <row r="4626">
      <c r="A4626" s="2" t="s">
        <v>4307</v>
      </c>
      <c r="B4626" s="2" t="s">
        <v>4307</v>
      </c>
      <c r="C4626" s="2" t="s">
        <v>4633</v>
      </c>
      <c r="D4626" s="3" t="str">
        <f t="shared" ref="D4626:D4628" si="667">HYPERLINK("https://12go.asia/en/travel/Lorraine-Transfer/Chief-Dawid-Stuurman-Intl-Airport", "12Go Link")</f>
        <v>12Go Link</v>
      </c>
      <c r="E4626" s="2" t="s">
        <v>191</v>
      </c>
    </row>
    <row r="4627">
      <c r="A4627" s="2" t="s">
        <v>4307</v>
      </c>
      <c r="B4627" s="2" t="s">
        <v>4307</v>
      </c>
      <c r="C4627" s="2" t="s">
        <v>4633</v>
      </c>
      <c r="D4627" s="3" t="str">
        <f t="shared" si="667"/>
        <v>12Go Link</v>
      </c>
      <c r="E4627" s="2" t="s">
        <v>192</v>
      </c>
    </row>
    <row r="4628">
      <c r="A4628" s="2" t="s">
        <v>4307</v>
      </c>
      <c r="B4628" s="2" t="s">
        <v>4307</v>
      </c>
      <c r="C4628" s="2" t="s">
        <v>4633</v>
      </c>
      <c r="D4628" s="3" t="str">
        <f t="shared" si="667"/>
        <v>12Go Link</v>
      </c>
      <c r="E4628" s="2" t="s">
        <v>193</v>
      </c>
    </row>
    <row r="4629">
      <c r="A4629" s="2" t="s">
        <v>4307</v>
      </c>
      <c r="B4629" s="2" t="s">
        <v>4307</v>
      </c>
      <c r="C4629" s="2" t="s">
        <v>4634</v>
      </c>
      <c r="D4629" s="3" t="str">
        <f t="shared" ref="D4629:D4631" si="668">HYPERLINK("https://12go.asia/en/travel/Maitland-Nature-Reserve-Transfer/Chief-Dawid-Stuurman-Intl-Airport", "12Go Link")</f>
        <v>12Go Link</v>
      </c>
      <c r="E4629" s="2" t="s">
        <v>191</v>
      </c>
    </row>
    <row r="4630">
      <c r="A4630" s="2" t="s">
        <v>4307</v>
      </c>
      <c r="B4630" s="2" t="s">
        <v>4307</v>
      </c>
      <c r="C4630" s="2" t="s">
        <v>4634</v>
      </c>
      <c r="D4630" s="3" t="str">
        <f t="shared" si="668"/>
        <v>12Go Link</v>
      </c>
      <c r="E4630" s="2" t="s">
        <v>192</v>
      </c>
    </row>
    <row r="4631">
      <c r="A4631" s="2" t="s">
        <v>4307</v>
      </c>
      <c r="B4631" s="2" t="s">
        <v>4307</v>
      </c>
      <c r="C4631" s="2" t="s">
        <v>4634</v>
      </c>
      <c r="D4631" s="3" t="str">
        <f t="shared" si="668"/>
        <v>12Go Link</v>
      </c>
      <c r="E4631" s="2" t="s">
        <v>193</v>
      </c>
    </row>
    <row r="4632">
      <c r="A4632" s="2" t="s">
        <v>4307</v>
      </c>
      <c r="B4632" s="2" t="s">
        <v>4307</v>
      </c>
      <c r="C4632" s="2" t="s">
        <v>4635</v>
      </c>
      <c r="D4632" s="3" t="str">
        <f t="shared" ref="D4632:D4634" si="669">HYPERLINK("https://12go.asia/en/travel/Mount-Pleasant-Transfer/Chief-Dawid-Stuurman-Intl-Airport", "12Go Link")</f>
        <v>12Go Link</v>
      </c>
      <c r="E4632" s="2" t="s">
        <v>191</v>
      </c>
    </row>
    <row r="4633">
      <c r="A4633" s="2" t="s">
        <v>4307</v>
      </c>
      <c r="B4633" s="2" t="s">
        <v>4307</v>
      </c>
      <c r="C4633" s="2" t="s">
        <v>4635</v>
      </c>
      <c r="D4633" s="3" t="str">
        <f t="shared" si="669"/>
        <v>12Go Link</v>
      </c>
      <c r="E4633" s="2" t="s">
        <v>192</v>
      </c>
    </row>
    <row r="4634">
      <c r="A4634" s="2" t="s">
        <v>4307</v>
      </c>
      <c r="B4634" s="2" t="s">
        <v>4307</v>
      </c>
      <c r="C4634" s="2" t="s">
        <v>4635</v>
      </c>
      <c r="D4634" s="3" t="str">
        <f t="shared" si="669"/>
        <v>12Go Link</v>
      </c>
      <c r="E4634" s="2" t="s">
        <v>193</v>
      </c>
    </row>
    <row r="4635">
      <c r="A4635" s="2" t="s">
        <v>4307</v>
      </c>
      <c r="B4635" s="2" t="s">
        <v>4307</v>
      </c>
      <c r="C4635" s="2" t="s">
        <v>4636</v>
      </c>
      <c r="D4635" s="3" t="str">
        <f t="shared" ref="D4635:D4637" si="670">HYPERLINK("https://12go.asia/en/travel/Mount-Road-Transfer/Chief-Dawid-Stuurman-Intl-Airport", "12Go Link")</f>
        <v>12Go Link</v>
      </c>
      <c r="E4635" s="2" t="s">
        <v>191</v>
      </c>
    </row>
    <row r="4636">
      <c r="A4636" s="2" t="s">
        <v>4307</v>
      </c>
      <c r="B4636" s="2" t="s">
        <v>4307</v>
      </c>
      <c r="C4636" s="2" t="s">
        <v>4636</v>
      </c>
      <c r="D4636" s="3" t="str">
        <f t="shared" si="670"/>
        <v>12Go Link</v>
      </c>
      <c r="E4636" s="2" t="s">
        <v>192</v>
      </c>
    </row>
    <row r="4637">
      <c r="A4637" s="2" t="s">
        <v>4307</v>
      </c>
      <c r="B4637" s="2" t="s">
        <v>4307</v>
      </c>
      <c r="C4637" s="2" t="s">
        <v>4636</v>
      </c>
      <c r="D4637" s="3" t="str">
        <f t="shared" si="670"/>
        <v>12Go Link</v>
      </c>
      <c r="E4637" s="2" t="s">
        <v>193</v>
      </c>
    </row>
    <row r="4638">
      <c r="A4638" s="2" t="s">
        <v>4307</v>
      </c>
      <c r="B4638" s="2" t="s">
        <v>4307</v>
      </c>
      <c r="C4638" s="2" t="s">
        <v>4637</v>
      </c>
      <c r="D4638" s="3" t="str">
        <f t="shared" ref="D4638:D4640" si="671">HYPERLINK("https://12go.asia/en/travel/Nelson-Mandela-Bay-Stadium-Transfer/Chief-Dawid-Stuurman-Intl-Airport", "12Go Link")</f>
        <v>12Go Link</v>
      </c>
      <c r="E4638" s="2" t="s">
        <v>191</v>
      </c>
    </row>
    <row r="4639">
      <c r="A4639" s="2" t="s">
        <v>4307</v>
      </c>
      <c r="B4639" s="2" t="s">
        <v>4307</v>
      </c>
      <c r="C4639" s="2" t="s">
        <v>4637</v>
      </c>
      <c r="D4639" s="3" t="str">
        <f t="shared" si="671"/>
        <v>12Go Link</v>
      </c>
      <c r="E4639" s="2" t="s">
        <v>192</v>
      </c>
    </row>
    <row r="4640">
      <c r="A4640" s="2" t="s">
        <v>4307</v>
      </c>
      <c r="B4640" s="2" t="s">
        <v>4307</v>
      </c>
      <c r="C4640" s="2" t="s">
        <v>4637</v>
      </c>
      <c r="D4640" s="3" t="str">
        <f t="shared" si="671"/>
        <v>12Go Link</v>
      </c>
      <c r="E4640" s="2" t="s">
        <v>193</v>
      </c>
    </row>
    <row r="4641">
      <c r="A4641" s="2" t="s">
        <v>4307</v>
      </c>
      <c r="B4641" s="2" t="s">
        <v>4307</v>
      </c>
      <c r="C4641" s="2" t="s">
        <v>4638</v>
      </c>
      <c r="D4641" s="3" t="str">
        <f t="shared" ref="D4641:D4643" si="672">HYPERLINK("https://12go.asia/en/travel/Nelson-Mandela-Voting-Line-Sculpture-Transfer/Chief-Dawid-Stuurman-Intl-Airport", "12Go Link")</f>
        <v>12Go Link</v>
      </c>
      <c r="E4641" s="2" t="s">
        <v>191</v>
      </c>
    </row>
    <row r="4642">
      <c r="A4642" s="2" t="s">
        <v>4307</v>
      </c>
      <c r="B4642" s="2" t="s">
        <v>4307</v>
      </c>
      <c r="C4642" s="2" t="s">
        <v>4638</v>
      </c>
      <c r="D4642" s="3" t="str">
        <f t="shared" si="672"/>
        <v>12Go Link</v>
      </c>
      <c r="E4642" s="2" t="s">
        <v>192</v>
      </c>
    </row>
    <row r="4643">
      <c r="A4643" s="2" t="s">
        <v>4307</v>
      </c>
      <c r="B4643" s="2" t="s">
        <v>4307</v>
      </c>
      <c r="C4643" s="2" t="s">
        <v>4638</v>
      </c>
      <c r="D4643" s="3" t="str">
        <f t="shared" si="672"/>
        <v>12Go Link</v>
      </c>
      <c r="E4643" s="2" t="s">
        <v>193</v>
      </c>
    </row>
    <row r="4644">
      <c r="A4644" s="2" t="s">
        <v>4307</v>
      </c>
      <c r="B4644" s="2" t="s">
        <v>4307</v>
      </c>
      <c r="C4644" s="2" t="s">
        <v>4639</v>
      </c>
      <c r="D4644" s="3" t="str">
        <f t="shared" ref="D4644:D4646" si="673">HYPERLINK("https://12go.asia/en/travel/Newton-Park-Transfer/Chief-Dawid-Stuurman-Intl-Airport", "12Go Link")</f>
        <v>12Go Link</v>
      </c>
      <c r="E4644" s="2" t="s">
        <v>191</v>
      </c>
    </row>
    <row r="4645">
      <c r="A4645" s="2" t="s">
        <v>4307</v>
      </c>
      <c r="B4645" s="2" t="s">
        <v>4307</v>
      </c>
      <c r="C4645" s="2" t="s">
        <v>4639</v>
      </c>
      <c r="D4645" s="3" t="str">
        <f t="shared" si="673"/>
        <v>12Go Link</v>
      </c>
      <c r="E4645" s="2" t="s">
        <v>192</v>
      </c>
    </row>
    <row r="4646">
      <c r="A4646" s="2" t="s">
        <v>4307</v>
      </c>
      <c r="B4646" s="2" t="s">
        <v>4307</v>
      </c>
      <c r="C4646" s="2" t="s">
        <v>4639</v>
      </c>
      <c r="D4646" s="3" t="str">
        <f t="shared" si="673"/>
        <v>12Go Link</v>
      </c>
      <c r="E4646" s="2" t="s">
        <v>193</v>
      </c>
    </row>
    <row r="4647">
      <c r="A4647" s="2" t="s">
        <v>4307</v>
      </c>
      <c r="B4647" s="2" t="s">
        <v>4307</v>
      </c>
      <c r="C4647" s="2" t="s">
        <v>4640</v>
      </c>
      <c r="D4647" s="3" t="str">
        <f t="shared" ref="D4647:D4649" si="674">HYPERLINK("https://12go.asia/en/travel/Old-Harbour-Board-Building-Transfer/Chief-Dawid-Stuurman-Intl-Airport", "12Go Link")</f>
        <v>12Go Link</v>
      </c>
      <c r="E4647" s="2" t="s">
        <v>191</v>
      </c>
    </row>
    <row r="4648">
      <c r="A4648" s="2" t="s">
        <v>4307</v>
      </c>
      <c r="B4648" s="2" t="s">
        <v>4307</v>
      </c>
      <c r="C4648" s="2" t="s">
        <v>4640</v>
      </c>
      <c r="D4648" s="3" t="str">
        <f t="shared" si="674"/>
        <v>12Go Link</v>
      </c>
      <c r="E4648" s="2" t="s">
        <v>192</v>
      </c>
    </row>
    <row r="4649">
      <c r="A4649" s="2" t="s">
        <v>4307</v>
      </c>
      <c r="B4649" s="2" t="s">
        <v>4307</v>
      </c>
      <c r="C4649" s="2" t="s">
        <v>4640</v>
      </c>
      <c r="D4649" s="3" t="str">
        <f t="shared" si="674"/>
        <v>12Go Link</v>
      </c>
      <c r="E4649" s="2" t="s">
        <v>193</v>
      </c>
    </row>
    <row r="4650">
      <c r="A4650" s="2" t="s">
        <v>4307</v>
      </c>
      <c r="B4650" s="2" t="s">
        <v>4307</v>
      </c>
      <c r="C4650" s="2" t="s">
        <v>4641</v>
      </c>
      <c r="D4650" s="3" t="str">
        <f t="shared" ref="D4650:D4652" si="675">HYPERLINK("https://12go.asia/en/travel/PE-Central-Transfer/Chief-Dawid-Stuurman-Intl-Airport", "12Go Link")</f>
        <v>12Go Link</v>
      </c>
      <c r="E4650" s="2" t="s">
        <v>191</v>
      </c>
    </row>
    <row r="4651">
      <c r="A4651" s="2" t="s">
        <v>4307</v>
      </c>
      <c r="B4651" s="2" t="s">
        <v>4307</v>
      </c>
      <c r="C4651" s="2" t="s">
        <v>4641</v>
      </c>
      <c r="D4651" s="3" t="str">
        <f t="shared" si="675"/>
        <v>12Go Link</v>
      </c>
      <c r="E4651" s="2" t="s">
        <v>192</v>
      </c>
    </row>
    <row r="4652">
      <c r="A4652" s="2" t="s">
        <v>4307</v>
      </c>
      <c r="B4652" s="2" t="s">
        <v>4307</v>
      </c>
      <c r="C4652" s="2" t="s">
        <v>4641</v>
      </c>
      <c r="D4652" s="3" t="str">
        <f t="shared" si="675"/>
        <v>12Go Link</v>
      </c>
      <c r="E4652" s="2" t="s">
        <v>193</v>
      </c>
    </row>
    <row r="4653">
      <c r="A4653" s="2" t="s">
        <v>4307</v>
      </c>
      <c r="B4653" s="2" t="s">
        <v>4307</v>
      </c>
      <c r="C4653" s="2" t="s">
        <v>4642</v>
      </c>
      <c r="D4653" s="3" t="str">
        <f t="shared" ref="D4653:D4655" si="676">HYPERLINK("https://12go.asia/en/travel/Port-Elizabeth-Central-Transfer/Chief-Dawid-Stuurman-Intl-Airport", "12Go Link")</f>
        <v>12Go Link</v>
      </c>
      <c r="E4653" s="2" t="s">
        <v>191</v>
      </c>
    </row>
    <row r="4654">
      <c r="A4654" s="2" t="s">
        <v>4307</v>
      </c>
      <c r="B4654" s="2" t="s">
        <v>4307</v>
      </c>
      <c r="C4654" s="2" t="s">
        <v>4642</v>
      </c>
      <c r="D4654" s="3" t="str">
        <f t="shared" si="676"/>
        <v>12Go Link</v>
      </c>
      <c r="E4654" s="2" t="s">
        <v>192</v>
      </c>
    </row>
    <row r="4655">
      <c r="A4655" s="2" t="s">
        <v>4307</v>
      </c>
      <c r="B4655" s="2" t="s">
        <v>4307</v>
      </c>
      <c r="C4655" s="2" t="s">
        <v>4642</v>
      </c>
      <c r="D4655" s="3" t="str">
        <f t="shared" si="676"/>
        <v>12Go Link</v>
      </c>
      <c r="E4655" s="2" t="s">
        <v>193</v>
      </c>
    </row>
    <row r="4656">
      <c r="A4656" s="2" t="s">
        <v>4307</v>
      </c>
      <c r="B4656" s="2" t="s">
        <v>4307</v>
      </c>
      <c r="C4656" s="2" t="s">
        <v>4643</v>
      </c>
      <c r="D4656" s="3" t="str">
        <f t="shared" ref="D4656:D4658" si="677">HYPERLINK("https://12go.asia/en/travel/Sacramento-Cannon-Transfer/Chief-Dawid-Stuurman-Intl-Airport", "12Go Link")</f>
        <v>12Go Link</v>
      </c>
      <c r="E4656" s="2" t="s">
        <v>191</v>
      </c>
    </row>
    <row r="4657">
      <c r="A4657" s="2" t="s">
        <v>4307</v>
      </c>
      <c r="B4657" s="2" t="s">
        <v>4307</v>
      </c>
      <c r="C4657" s="2" t="s">
        <v>4643</v>
      </c>
      <c r="D4657" s="3" t="str">
        <f t="shared" si="677"/>
        <v>12Go Link</v>
      </c>
      <c r="E4657" s="2" t="s">
        <v>192</v>
      </c>
    </row>
    <row r="4658">
      <c r="A4658" s="2" t="s">
        <v>4307</v>
      </c>
      <c r="B4658" s="2" t="s">
        <v>4307</v>
      </c>
      <c r="C4658" s="2" t="s">
        <v>4643</v>
      </c>
      <c r="D4658" s="3" t="str">
        <f t="shared" si="677"/>
        <v>12Go Link</v>
      </c>
      <c r="E4658" s="2" t="s">
        <v>193</v>
      </c>
    </row>
    <row r="4659">
      <c r="A4659" s="2" t="s">
        <v>4307</v>
      </c>
      <c r="B4659" s="2" t="s">
        <v>4307</v>
      </c>
      <c r="C4659" s="2" t="s">
        <v>4644</v>
      </c>
      <c r="D4659" s="3" t="str">
        <f t="shared" ref="D4659:D4661" si="678">HYPERLINK("https://12go.asia/en/travel/Settlers-Park-Nature-Reserve-Transfer/Chief-Dawid-Stuurman-Intl-Airport", "12Go Link")</f>
        <v>12Go Link</v>
      </c>
      <c r="E4659" s="2" t="s">
        <v>191</v>
      </c>
    </row>
    <row r="4660">
      <c r="A4660" s="2" t="s">
        <v>4307</v>
      </c>
      <c r="B4660" s="2" t="s">
        <v>4307</v>
      </c>
      <c r="C4660" s="2" t="s">
        <v>4644</v>
      </c>
      <c r="D4660" s="3" t="str">
        <f t="shared" si="678"/>
        <v>12Go Link</v>
      </c>
      <c r="E4660" s="2" t="s">
        <v>192</v>
      </c>
    </row>
    <row r="4661">
      <c r="A4661" s="2" t="s">
        <v>4307</v>
      </c>
      <c r="B4661" s="2" t="s">
        <v>4307</v>
      </c>
      <c r="C4661" s="2" t="s">
        <v>4644</v>
      </c>
      <c r="D4661" s="3" t="str">
        <f t="shared" si="678"/>
        <v>12Go Link</v>
      </c>
      <c r="E4661" s="2" t="s">
        <v>193</v>
      </c>
    </row>
    <row r="4662">
      <c r="A4662" s="2" t="s">
        <v>4307</v>
      </c>
      <c r="B4662" s="2" t="s">
        <v>4307</v>
      </c>
      <c r="C4662" s="2" t="s">
        <v>4645</v>
      </c>
      <c r="D4662" s="3" t="str">
        <f t="shared" ref="D4662:D4664" si="679">HYPERLINK("https://12go.asia/en/travel/Summerstrand/Bay-Area-Transfer/Chief-Dawid-Stuurman-Intl-Airport", "12Go Link")</f>
        <v>12Go Link</v>
      </c>
      <c r="E4662" s="2" t="s">
        <v>191</v>
      </c>
    </row>
    <row r="4663">
      <c r="A4663" s="2" t="s">
        <v>4307</v>
      </c>
      <c r="B4663" s="2" t="s">
        <v>4307</v>
      </c>
      <c r="C4663" s="2" t="s">
        <v>4645</v>
      </c>
      <c r="D4663" s="3" t="str">
        <f t="shared" si="679"/>
        <v>12Go Link</v>
      </c>
      <c r="E4663" s="2" t="s">
        <v>192</v>
      </c>
    </row>
    <row r="4664">
      <c r="A4664" s="2" t="s">
        <v>4307</v>
      </c>
      <c r="B4664" s="2" t="s">
        <v>4307</v>
      </c>
      <c r="C4664" s="2" t="s">
        <v>4645</v>
      </c>
      <c r="D4664" s="3" t="str">
        <f t="shared" si="679"/>
        <v>12Go Link</v>
      </c>
      <c r="E4664" s="2" t="s">
        <v>193</v>
      </c>
    </row>
    <row r="4665">
      <c r="A4665" s="2" t="s">
        <v>4307</v>
      </c>
      <c r="B4665" s="2" t="s">
        <v>4307</v>
      </c>
      <c r="C4665" s="2" t="s">
        <v>4646</v>
      </c>
      <c r="D4665" s="3" t="str">
        <f t="shared" ref="D4665:D4667" si="680">HYPERLINK("https://12go.asia/en/travel/Sunridge-Park-Transfer/Chief-Dawid-Stuurman-Intl-Airport", "12Go Link")</f>
        <v>12Go Link</v>
      </c>
      <c r="E4665" s="2" t="s">
        <v>191</v>
      </c>
    </row>
    <row r="4666">
      <c r="A4666" s="2" t="s">
        <v>4307</v>
      </c>
      <c r="B4666" s="2" t="s">
        <v>4307</v>
      </c>
      <c r="C4666" s="2" t="s">
        <v>4646</v>
      </c>
      <c r="D4666" s="3" t="str">
        <f t="shared" si="680"/>
        <v>12Go Link</v>
      </c>
      <c r="E4666" s="2" t="s">
        <v>192</v>
      </c>
    </row>
    <row r="4667">
      <c r="A4667" s="2" t="s">
        <v>4307</v>
      </c>
      <c r="B4667" s="2" t="s">
        <v>4307</v>
      </c>
      <c r="C4667" s="2" t="s">
        <v>4646</v>
      </c>
      <c r="D4667" s="3" t="str">
        <f t="shared" si="680"/>
        <v>12Go Link</v>
      </c>
      <c r="E4667" s="2" t="s">
        <v>193</v>
      </c>
    </row>
    <row r="4668">
      <c r="A4668" s="2" t="s">
        <v>4307</v>
      </c>
      <c r="B4668" s="2" t="s">
        <v>4307</v>
      </c>
      <c r="C4668" s="2" t="s">
        <v>4647</v>
      </c>
      <c r="D4668" s="3" t="str">
        <f t="shared" ref="D4668:D4670" si="681">HYPERLINK("https://12go.asia/en/travel/Walmer-Transfer/Chief-Dawid-Stuurman-Intl-Airport", "12Go Link")</f>
        <v>12Go Link</v>
      </c>
      <c r="E4668" s="2" t="s">
        <v>191</v>
      </c>
    </row>
    <row r="4669">
      <c r="A4669" s="2" t="s">
        <v>4307</v>
      </c>
      <c r="B4669" s="2" t="s">
        <v>4307</v>
      </c>
      <c r="C4669" s="2" t="s">
        <v>4647</v>
      </c>
      <c r="D4669" s="3" t="str">
        <f t="shared" si="681"/>
        <v>12Go Link</v>
      </c>
      <c r="E4669" s="2" t="s">
        <v>192</v>
      </c>
    </row>
    <row r="4670">
      <c r="A4670" s="2" t="s">
        <v>4307</v>
      </c>
      <c r="B4670" s="2" t="s">
        <v>4307</v>
      </c>
      <c r="C4670" s="2" t="s">
        <v>4647</v>
      </c>
      <c r="D4670" s="3" t="str">
        <f t="shared" si="681"/>
        <v>12Go Link</v>
      </c>
      <c r="E4670" s="2" t="s">
        <v>193</v>
      </c>
    </row>
    <row r="4671">
      <c r="A4671" s="2" t="s">
        <v>4307</v>
      </c>
      <c r="B4671" s="2" t="s">
        <v>4310</v>
      </c>
      <c r="C4671" s="2" t="s">
        <v>4648</v>
      </c>
      <c r="D4671" s="3" t="str">
        <f t="shared" ref="D4671:D4673" si="682">HYPERLINK("https://12go.asia/en/travel/Chief-Dawid-Stuurman-Intl-Airport/Milpark-Transfer", "12Go Link")</f>
        <v>12Go Link</v>
      </c>
      <c r="E4671" s="2" t="s">
        <v>191</v>
      </c>
    </row>
    <row r="4672">
      <c r="A4672" s="2" t="s">
        <v>4307</v>
      </c>
      <c r="B4672" s="2" t="s">
        <v>4310</v>
      </c>
      <c r="C4672" s="2" t="s">
        <v>4648</v>
      </c>
      <c r="D4672" s="3" t="str">
        <f t="shared" si="682"/>
        <v>12Go Link</v>
      </c>
      <c r="E4672" s="2" t="s">
        <v>192</v>
      </c>
    </row>
    <row r="4673">
      <c r="A4673" s="2" t="s">
        <v>4307</v>
      </c>
      <c r="B4673" s="2" t="s">
        <v>4310</v>
      </c>
      <c r="C4673" s="2" t="s">
        <v>4648</v>
      </c>
      <c r="D4673" s="3" t="str">
        <f t="shared" si="682"/>
        <v>12Go Link</v>
      </c>
      <c r="E4673" s="2" t="s">
        <v>193</v>
      </c>
    </row>
    <row r="4674">
      <c r="A4674" s="2" t="s">
        <v>4307</v>
      </c>
      <c r="B4674" s="2" t="s">
        <v>4649</v>
      </c>
      <c r="C4674" s="2" t="s">
        <v>4650</v>
      </c>
      <c r="D4674" s="3" t="str">
        <f t="shared" ref="D4674:D4676" si="683">HYPERLINK("https://12go.asia/en/travel/Chief-Dawid-Stuurman-Intl-Airport/Northern-Areas-Transfer", "12Go Link")</f>
        <v>12Go Link</v>
      </c>
      <c r="E4674" s="2" t="s">
        <v>191</v>
      </c>
    </row>
    <row r="4675">
      <c r="A4675" s="2" t="s">
        <v>4307</v>
      </c>
      <c r="B4675" s="2" t="s">
        <v>4649</v>
      </c>
      <c r="C4675" s="2" t="s">
        <v>4650</v>
      </c>
      <c r="D4675" s="3" t="str">
        <f t="shared" si="683"/>
        <v>12Go Link</v>
      </c>
      <c r="E4675" s="2" t="s">
        <v>192</v>
      </c>
    </row>
    <row r="4676">
      <c r="A4676" s="2" t="s">
        <v>4307</v>
      </c>
      <c r="B4676" s="2" t="s">
        <v>4649</v>
      </c>
      <c r="C4676" s="2" t="s">
        <v>4650</v>
      </c>
      <c r="D4676" s="3" t="str">
        <f t="shared" si="683"/>
        <v>12Go Link</v>
      </c>
      <c r="E4676" s="2" t="s">
        <v>193</v>
      </c>
    </row>
    <row r="4677">
      <c r="A4677" s="2" t="s">
        <v>4307</v>
      </c>
      <c r="B4677" s="2" t="s">
        <v>4651</v>
      </c>
      <c r="C4677" s="2" t="s">
        <v>4652</v>
      </c>
      <c r="D4677" s="3" t="str">
        <f t="shared" ref="D4677:D4679" si="684">HYPERLINK("https://12go.asia/en/travel/Mount-Pleasant-Transfer/Harare-Robert-Gabriel-Mugabe-Airport", "12Go Link")</f>
        <v>12Go Link</v>
      </c>
      <c r="E4677" s="2" t="s">
        <v>191</v>
      </c>
    </row>
    <row r="4678">
      <c r="A4678" s="2" t="s">
        <v>4307</v>
      </c>
      <c r="B4678" s="2" t="s">
        <v>4651</v>
      </c>
      <c r="C4678" s="2" t="s">
        <v>4652</v>
      </c>
      <c r="D4678" s="3" t="str">
        <f t="shared" si="684"/>
        <v>12Go Link</v>
      </c>
      <c r="E4678" s="2" t="s">
        <v>192</v>
      </c>
    </row>
    <row r="4679">
      <c r="A4679" s="2" t="s">
        <v>4307</v>
      </c>
      <c r="B4679" s="2" t="s">
        <v>4651</v>
      </c>
      <c r="C4679" s="2" t="s">
        <v>4652</v>
      </c>
      <c r="D4679" s="3" t="str">
        <f t="shared" si="684"/>
        <v>12Go Link</v>
      </c>
      <c r="E4679" s="2" t="s">
        <v>193</v>
      </c>
    </row>
    <row r="4680">
      <c r="A4680" s="2" t="s">
        <v>4460</v>
      </c>
      <c r="B4680" s="2" t="s">
        <v>4331</v>
      </c>
      <c r="C4680" s="2" t="s">
        <v>4653</v>
      </c>
      <c r="D4680" s="3" t="str">
        <f t="shared" ref="D4680:D4682" si="685">HYPERLINK("https://12go.asia/en/travel/Grabouw-Transfer/Cape-Town-International-Airport", "12Go Link")</f>
        <v>12Go Link</v>
      </c>
      <c r="E4680" s="2" t="s">
        <v>191</v>
      </c>
    </row>
    <row r="4681">
      <c r="A4681" s="2" t="s">
        <v>4460</v>
      </c>
      <c r="B4681" s="2" t="s">
        <v>4331</v>
      </c>
      <c r="C4681" s="2" t="s">
        <v>4653</v>
      </c>
      <c r="D4681" s="3" t="str">
        <f t="shared" si="685"/>
        <v>12Go Link</v>
      </c>
      <c r="E4681" s="2" t="s">
        <v>192</v>
      </c>
    </row>
    <row r="4682">
      <c r="A4682" s="2" t="s">
        <v>4460</v>
      </c>
      <c r="B4682" s="2" t="s">
        <v>4331</v>
      </c>
      <c r="C4682" s="2" t="s">
        <v>4653</v>
      </c>
      <c r="D4682" s="3" t="str">
        <f t="shared" si="685"/>
        <v>12Go Link</v>
      </c>
      <c r="E4682" s="2" t="s">
        <v>193</v>
      </c>
    </row>
    <row r="4683">
      <c r="A4683" s="2" t="s">
        <v>4654</v>
      </c>
      <c r="B4683" s="2" t="s">
        <v>4310</v>
      </c>
      <c r="C4683" s="2" t="s">
        <v>4655</v>
      </c>
      <c r="D4683" s="3" t="str">
        <f t="shared" ref="D4683:D4685" si="686">HYPERLINK("https://12go.asia/en/travel/Graskop-Transfer/OR-Tambo-International-Airport", "12Go Link")</f>
        <v>12Go Link</v>
      </c>
      <c r="E4683" s="2" t="s">
        <v>191</v>
      </c>
    </row>
    <row r="4684">
      <c r="A4684" s="2" t="s">
        <v>4654</v>
      </c>
      <c r="B4684" s="2" t="s">
        <v>4310</v>
      </c>
      <c r="C4684" s="2" t="s">
        <v>4655</v>
      </c>
      <c r="D4684" s="3" t="str">
        <f t="shared" si="686"/>
        <v>12Go Link</v>
      </c>
      <c r="E4684" s="2" t="s">
        <v>192</v>
      </c>
    </row>
    <row r="4685">
      <c r="A4685" s="2" t="s">
        <v>4654</v>
      </c>
      <c r="B4685" s="2" t="s">
        <v>4310</v>
      </c>
      <c r="C4685" s="2" t="s">
        <v>4655</v>
      </c>
      <c r="D4685" s="3" t="str">
        <f t="shared" si="686"/>
        <v>12Go Link</v>
      </c>
      <c r="E4685" s="2" t="s">
        <v>193</v>
      </c>
    </row>
    <row r="4686">
      <c r="A4686" s="2" t="s">
        <v>4656</v>
      </c>
      <c r="B4686" s="2" t="s">
        <v>4310</v>
      </c>
      <c r="C4686" s="2" t="s">
        <v>4657</v>
      </c>
      <c r="D4686" s="3" t="str">
        <f t="shared" ref="D4686:D4688" si="687">HYPERLINK("https://12go.asia/en/travel/Greylingstad-Transfer/OR-Tambo-International-Airport", "12Go Link")</f>
        <v>12Go Link</v>
      </c>
      <c r="E4686" s="2" t="s">
        <v>191</v>
      </c>
    </row>
    <row r="4687">
      <c r="A4687" s="2" t="s">
        <v>4656</v>
      </c>
      <c r="B4687" s="2" t="s">
        <v>4310</v>
      </c>
      <c r="C4687" s="2" t="s">
        <v>4657</v>
      </c>
      <c r="D4687" s="3" t="str">
        <f t="shared" si="687"/>
        <v>12Go Link</v>
      </c>
      <c r="E4687" s="2" t="s">
        <v>192</v>
      </c>
    </row>
    <row r="4688">
      <c r="A4688" s="2" t="s">
        <v>4656</v>
      </c>
      <c r="B4688" s="2" t="s">
        <v>4310</v>
      </c>
      <c r="C4688" s="2" t="s">
        <v>4657</v>
      </c>
      <c r="D4688" s="3" t="str">
        <f t="shared" si="687"/>
        <v>12Go Link</v>
      </c>
      <c r="E4688" s="2" t="s">
        <v>193</v>
      </c>
    </row>
    <row r="4689">
      <c r="A4689" s="2" t="s">
        <v>4658</v>
      </c>
      <c r="B4689" s="2" t="s">
        <v>4310</v>
      </c>
      <c r="C4689" s="2" t="s">
        <v>4659</v>
      </c>
      <c r="D4689" s="3" t="str">
        <f t="shared" ref="D4689:D4691" si="688">HYPERLINK("https://12go.asia/en/travel/Hartesbpoort-Transfer/OR-Tambo-International-Airport", "12Go Link")</f>
        <v>12Go Link</v>
      </c>
      <c r="E4689" s="2" t="s">
        <v>191</v>
      </c>
    </row>
    <row r="4690">
      <c r="A4690" s="2" t="s">
        <v>4658</v>
      </c>
      <c r="B4690" s="2" t="s">
        <v>4310</v>
      </c>
      <c r="C4690" s="2" t="s">
        <v>4659</v>
      </c>
      <c r="D4690" s="3" t="str">
        <f t="shared" si="688"/>
        <v>12Go Link</v>
      </c>
      <c r="E4690" s="2" t="s">
        <v>192</v>
      </c>
    </row>
    <row r="4691">
      <c r="A4691" s="2" t="s">
        <v>4658</v>
      </c>
      <c r="B4691" s="2" t="s">
        <v>4310</v>
      </c>
      <c r="C4691" s="2" t="s">
        <v>4659</v>
      </c>
      <c r="D4691" s="3" t="str">
        <f t="shared" si="688"/>
        <v>12Go Link</v>
      </c>
      <c r="E4691" s="2" t="s">
        <v>193</v>
      </c>
    </row>
    <row r="4692">
      <c r="A4692" s="2" t="s">
        <v>4660</v>
      </c>
      <c r="B4692" s="2" t="s">
        <v>4310</v>
      </c>
      <c r="C4692" s="2" t="s">
        <v>4661</v>
      </c>
      <c r="D4692" s="3" t="str">
        <f t="shared" ref="D4692:D4694" si="689">HYPERLINK("https://12go.asia/en/travel/Hazyview-Transfer/OR-Tambo-International-Airport", "12Go Link")</f>
        <v>12Go Link</v>
      </c>
      <c r="E4692" s="2" t="s">
        <v>191</v>
      </c>
    </row>
    <row r="4693">
      <c r="A4693" s="2" t="s">
        <v>4660</v>
      </c>
      <c r="B4693" s="2" t="s">
        <v>4310</v>
      </c>
      <c r="C4693" s="2" t="s">
        <v>4661</v>
      </c>
      <c r="D4693" s="3" t="str">
        <f t="shared" si="689"/>
        <v>12Go Link</v>
      </c>
      <c r="E4693" s="2" t="s">
        <v>192</v>
      </c>
    </row>
    <row r="4694">
      <c r="A4694" s="2" t="s">
        <v>4660</v>
      </c>
      <c r="B4694" s="2" t="s">
        <v>4310</v>
      </c>
      <c r="C4694" s="2" t="s">
        <v>4661</v>
      </c>
      <c r="D4694" s="3" t="str">
        <f t="shared" si="689"/>
        <v>12Go Link</v>
      </c>
      <c r="E4694" s="2" t="s">
        <v>193</v>
      </c>
    </row>
    <row r="4695">
      <c r="A4695" s="2" t="s">
        <v>4662</v>
      </c>
      <c r="B4695" s="2" t="s">
        <v>4310</v>
      </c>
      <c r="C4695" s="2" t="s">
        <v>4663</v>
      </c>
      <c r="D4695" s="3" t="str">
        <f t="shared" ref="D4695:D4697" si="690">HYPERLINK("https://12go.asia/en/travel/Hectorspruit-Transfer/OR-Tambo-International-Airport", "12Go Link")</f>
        <v>12Go Link</v>
      </c>
      <c r="E4695" s="2" t="s">
        <v>191</v>
      </c>
    </row>
    <row r="4696">
      <c r="A4696" s="2" t="s">
        <v>4662</v>
      </c>
      <c r="B4696" s="2" t="s">
        <v>4310</v>
      </c>
      <c r="C4696" s="2" t="s">
        <v>4663</v>
      </c>
      <c r="D4696" s="3" t="str">
        <f t="shared" si="690"/>
        <v>12Go Link</v>
      </c>
      <c r="E4696" s="2" t="s">
        <v>192</v>
      </c>
    </row>
    <row r="4697">
      <c r="A4697" s="2" t="s">
        <v>4662</v>
      </c>
      <c r="B4697" s="2" t="s">
        <v>4310</v>
      </c>
      <c r="C4697" s="2" t="s">
        <v>4663</v>
      </c>
      <c r="D4697" s="3" t="str">
        <f t="shared" si="690"/>
        <v>12Go Link</v>
      </c>
      <c r="E4697" s="2" t="s">
        <v>193</v>
      </c>
    </row>
    <row r="4698">
      <c r="A4698" s="2" t="s">
        <v>4664</v>
      </c>
      <c r="B4698" s="2" t="s">
        <v>4310</v>
      </c>
      <c r="C4698" s="2" t="s">
        <v>4665</v>
      </c>
      <c r="D4698" s="3" t="str">
        <f t="shared" ref="D4698:D4700" si="691">HYPERLINK("https://12go.asia/en/travel/Hendrina-Transfer/OR-Tambo-International-Airport", "12Go Link")</f>
        <v>12Go Link</v>
      </c>
      <c r="E4698" s="2" t="s">
        <v>191</v>
      </c>
    </row>
    <row r="4699">
      <c r="A4699" s="2" t="s">
        <v>4664</v>
      </c>
      <c r="B4699" s="2" t="s">
        <v>4310</v>
      </c>
      <c r="C4699" s="2" t="s">
        <v>4665</v>
      </c>
      <c r="D4699" s="3" t="str">
        <f t="shared" si="691"/>
        <v>12Go Link</v>
      </c>
      <c r="E4699" s="2" t="s">
        <v>192</v>
      </c>
    </row>
    <row r="4700">
      <c r="A4700" s="2" t="s">
        <v>4664</v>
      </c>
      <c r="B4700" s="2" t="s">
        <v>4310</v>
      </c>
      <c r="C4700" s="2" t="s">
        <v>4665</v>
      </c>
      <c r="D4700" s="3" t="str">
        <f t="shared" si="691"/>
        <v>12Go Link</v>
      </c>
      <c r="E4700" s="2" t="s">
        <v>193</v>
      </c>
    </row>
    <row r="4701">
      <c r="A4701" s="2" t="s">
        <v>4462</v>
      </c>
      <c r="B4701" s="2" t="s">
        <v>4331</v>
      </c>
      <c r="C4701" s="2" t="s">
        <v>4666</v>
      </c>
      <c r="D4701" s="3" t="str">
        <f t="shared" ref="D4701:D4703" si="692">HYPERLINK("https://12go.asia/en/travel/Hermanus-Transfer/Cape-Town-International-Airport", "12Go Link")</f>
        <v>12Go Link</v>
      </c>
      <c r="E4701" s="2" t="s">
        <v>191</v>
      </c>
    </row>
    <row r="4702">
      <c r="A4702" s="2" t="s">
        <v>4462</v>
      </c>
      <c r="B4702" s="2" t="s">
        <v>4331</v>
      </c>
      <c r="C4702" s="2" t="s">
        <v>4666</v>
      </c>
      <c r="D4702" s="3" t="str">
        <f t="shared" si="692"/>
        <v>12Go Link</v>
      </c>
      <c r="E4702" s="2" t="s">
        <v>192</v>
      </c>
    </row>
    <row r="4703">
      <c r="A4703" s="2" t="s">
        <v>4462</v>
      </c>
      <c r="B4703" s="2" t="s">
        <v>4331</v>
      </c>
      <c r="C4703" s="2" t="s">
        <v>4666</v>
      </c>
      <c r="D4703" s="3" t="str">
        <f t="shared" si="692"/>
        <v>12Go Link</v>
      </c>
      <c r="E4703" s="2" t="s">
        <v>193</v>
      </c>
    </row>
    <row r="4704">
      <c r="A4704" s="2" t="s">
        <v>4524</v>
      </c>
      <c r="B4704" s="2" t="s">
        <v>4319</v>
      </c>
      <c r="C4704" s="2" t="s">
        <v>4667</v>
      </c>
      <c r="D4704" s="3" t="str">
        <f t="shared" ref="D4704:D4706" si="693">HYPERLINK("https://12go.asia/en/travel/Battlefields-Transfer/Durban-International-Airport", "12Go Link")</f>
        <v>12Go Link</v>
      </c>
      <c r="E4704" s="2" t="s">
        <v>191</v>
      </c>
    </row>
    <row r="4705">
      <c r="A4705" s="2" t="s">
        <v>4524</v>
      </c>
      <c r="B4705" s="2" t="s">
        <v>4319</v>
      </c>
      <c r="C4705" s="2" t="s">
        <v>4667</v>
      </c>
      <c r="D4705" s="3" t="str">
        <f t="shared" si="693"/>
        <v>12Go Link</v>
      </c>
      <c r="E4705" s="2" t="s">
        <v>192</v>
      </c>
    </row>
    <row r="4706">
      <c r="A4706" s="2" t="s">
        <v>4524</v>
      </c>
      <c r="B4706" s="2" t="s">
        <v>4319</v>
      </c>
      <c r="C4706" s="2" t="s">
        <v>4667</v>
      </c>
      <c r="D4706" s="3" t="str">
        <f t="shared" si="693"/>
        <v>12Go Link</v>
      </c>
      <c r="E4706" s="2" t="s">
        <v>193</v>
      </c>
    </row>
    <row r="4707">
      <c r="A4707" s="2" t="s">
        <v>4526</v>
      </c>
      <c r="B4707" s="2" t="s">
        <v>4319</v>
      </c>
      <c r="C4707" s="2" t="s">
        <v>4668</v>
      </c>
      <c r="D4707" s="3" t="str">
        <f t="shared" ref="D4707:D4709" si="694">HYPERLINK("https://12go.asia/en/travel/Hluhluwe-iMfolozi-Park-Transfer/Durban-International-Airport", "12Go Link")</f>
        <v>12Go Link</v>
      </c>
      <c r="E4707" s="2" t="s">
        <v>191</v>
      </c>
    </row>
    <row r="4708">
      <c r="A4708" s="2" t="s">
        <v>4526</v>
      </c>
      <c r="B4708" s="2" t="s">
        <v>4319</v>
      </c>
      <c r="C4708" s="2" t="s">
        <v>4668</v>
      </c>
      <c r="D4708" s="3" t="str">
        <f t="shared" si="694"/>
        <v>12Go Link</v>
      </c>
      <c r="E4708" s="2" t="s">
        <v>192</v>
      </c>
    </row>
    <row r="4709">
      <c r="A4709" s="2" t="s">
        <v>4526</v>
      </c>
      <c r="B4709" s="2" t="s">
        <v>4319</v>
      </c>
      <c r="C4709" s="2" t="s">
        <v>4668</v>
      </c>
      <c r="D4709" s="3" t="str">
        <f t="shared" si="694"/>
        <v>12Go Link</v>
      </c>
      <c r="E4709" s="2" t="s">
        <v>193</v>
      </c>
    </row>
    <row r="4710">
      <c r="A4710" s="2" t="s">
        <v>4528</v>
      </c>
      <c r="B4710" s="2" t="s">
        <v>4319</v>
      </c>
      <c r="C4710" s="2" t="s">
        <v>4669</v>
      </c>
      <c r="D4710" s="3" t="str">
        <f t="shared" ref="D4710:D4712" si="695">HYPERLINK("https://12go.asia/en/travel/iSimangaliso-Wetland-Park-Transfer/Durban-International-Airport", "12Go Link")</f>
        <v>12Go Link</v>
      </c>
      <c r="E4710" s="2" t="s">
        <v>191</v>
      </c>
    </row>
    <row r="4711">
      <c r="A4711" s="2" t="s">
        <v>4528</v>
      </c>
      <c r="B4711" s="2" t="s">
        <v>4319</v>
      </c>
      <c r="C4711" s="2" t="s">
        <v>4669</v>
      </c>
      <c r="D4711" s="3" t="str">
        <f t="shared" si="695"/>
        <v>12Go Link</v>
      </c>
      <c r="E4711" s="2" t="s">
        <v>192</v>
      </c>
    </row>
    <row r="4712">
      <c r="A4712" s="2" t="s">
        <v>4528</v>
      </c>
      <c r="B4712" s="2" t="s">
        <v>4319</v>
      </c>
      <c r="C4712" s="2" t="s">
        <v>4669</v>
      </c>
      <c r="D4712" s="3" t="str">
        <f t="shared" si="695"/>
        <v>12Go Link</v>
      </c>
      <c r="E4712" s="2" t="s">
        <v>193</v>
      </c>
    </row>
    <row r="4713">
      <c r="A4713" s="2" t="s">
        <v>4310</v>
      </c>
      <c r="B4713" s="2" t="s">
        <v>4309</v>
      </c>
      <c r="C4713" s="2" t="s">
        <v>4670</v>
      </c>
      <c r="D4713" s="3" t="str">
        <f t="shared" ref="D4713:D4715" si="696">HYPERLINK("https://12go.asia/en/travel/OR-Tambo-International-Airport/Alberton-Transfer", "12Go Link")</f>
        <v>12Go Link</v>
      </c>
      <c r="E4713" s="2" t="s">
        <v>191</v>
      </c>
    </row>
    <row r="4714">
      <c r="A4714" s="2" t="s">
        <v>4310</v>
      </c>
      <c r="B4714" s="2" t="s">
        <v>4309</v>
      </c>
      <c r="C4714" s="2" t="s">
        <v>4670</v>
      </c>
      <c r="D4714" s="3" t="str">
        <f t="shared" si="696"/>
        <v>12Go Link</v>
      </c>
      <c r="E4714" s="2" t="s">
        <v>192</v>
      </c>
    </row>
    <row r="4715">
      <c r="A4715" s="2" t="s">
        <v>4310</v>
      </c>
      <c r="B4715" s="2" t="s">
        <v>4309</v>
      </c>
      <c r="C4715" s="2" t="s">
        <v>4670</v>
      </c>
      <c r="D4715" s="3" t="str">
        <f t="shared" si="696"/>
        <v>12Go Link</v>
      </c>
      <c r="E4715" s="2" t="s">
        <v>193</v>
      </c>
    </row>
    <row r="4716">
      <c r="A4716" s="2" t="s">
        <v>4310</v>
      </c>
      <c r="B4716" s="2" t="s">
        <v>4314</v>
      </c>
      <c r="C4716" s="2" t="s">
        <v>4671</v>
      </c>
      <c r="D4716" s="3" t="str">
        <f t="shared" ref="D4716:D4718" si="697">HYPERLINK("https://12go.asia/en/travel/OR-Tambo-International-Airport/Amersfoort-Transfer", "12Go Link")</f>
        <v>12Go Link</v>
      </c>
      <c r="E4716" s="2" t="s">
        <v>191</v>
      </c>
    </row>
    <row r="4717">
      <c r="A4717" s="2" t="s">
        <v>4310</v>
      </c>
      <c r="B4717" s="2" t="s">
        <v>4314</v>
      </c>
      <c r="C4717" s="2" t="s">
        <v>4671</v>
      </c>
      <c r="D4717" s="3" t="str">
        <f t="shared" si="697"/>
        <v>12Go Link</v>
      </c>
      <c r="E4717" s="2" t="s">
        <v>192</v>
      </c>
    </row>
    <row r="4718">
      <c r="A4718" s="2" t="s">
        <v>4310</v>
      </c>
      <c r="B4718" s="2" t="s">
        <v>4314</v>
      </c>
      <c r="C4718" s="2" t="s">
        <v>4671</v>
      </c>
      <c r="D4718" s="3" t="str">
        <f t="shared" si="697"/>
        <v>12Go Link</v>
      </c>
      <c r="E4718" s="2" t="s">
        <v>193</v>
      </c>
    </row>
    <row r="4719">
      <c r="A4719" s="2" t="s">
        <v>4310</v>
      </c>
      <c r="B4719" s="2" t="s">
        <v>4316</v>
      </c>
      <c r="C4719" s="2" t="s">
        <v>4672</v>
      </c>
      <c r="D4719" s="3" t="str">
        <f t="shared" ref="D4719:D4721" si="698">HYPERLINK("https://12go.asia/en/travel/OR-Tambo-International-Airport/Balfour-Transfer", "12Go Link")</f>
        <v>12Go Link</v>
      </c>
      <c r="E4719" s="2" t="s">
        <v>191</v>
      </c>
    </row>
    <row r="4720">
      <c r="A4720" s="2" t="s">
        <v>4310</v>
      </c>
      <c r="B4720" s="2" t="s">
        <v>4316</v>
      </c>
      <c r="C4720" s="2" t="s">
        <v>4672</v>
      </c>
      <c r="D4720" s="3" t="str">
        <f t="shared" si="698"/>
        <v>12Go Link</v>
      </c>
      <c r="E4720" s="2" t="s">
        <v>192</v>
      </c>
    </row>
    <row r="4721">
      <c r="A4721" s="2" t="s">
        <v>4310</v>
      </c>
      <c r="B4721" s="2" t="s">
        <v>4316</v>
      </c>
      <c r="C4721" s="2" t="s">
        <v>4672</v>
      </c>
      <c r="D4721" s="3" t="str">
        <f t="shared" si="698"/>
        <v>12Go Link</v>
      </c>
      <c r="E4721" s="2" t="s">
        <v>193</v>
      </c>
    </row>
    <row r="4722">
      <c r="A4722" s="2" t="s">
        <v>4310</v>
      </c>
      <c r="B4722" s="2" t="s">
        <v>4323</v>
      </c>
      <c r="C4722" s="2" t="s">
        <v>4673</v>
      </c>
      <c r="D4722" s="3" t="str">
        <f t="shared" ref="D4722:D4724" si="699">HYPERLINK("https://12go.asia/en/travel/OR-Tambo-International-Airport/Barberton-Transfer", "12Go Link")</f>
        <v>12Go Link</v>
      </c>
      <c r="E4722" s="2" t="s">
        <v>191</v>
      </c>
    </row>
    <row r="4723">
      <c r="A4723" s="2" t="s">
        <v>4310</v>
      </c>
      <c r="B4723" s="2" t="s">
        <v>4323</v>
      </c>
      <c r="C4723" s="2" t="s">
        <v>4673</v>
      </c>
      <c r="D4723" s="3" t="str">
        <f t="shared" si="699"/>
        <v>12Go Link</v>
      </c>
      <c r="E4723" s="2" t="s">
        <v>192</v>
      </c>
    </row>
    <row r="4724">
      <c r="A4724" s="2" t="s">
        <v>4310</v>
      </c>
      <c r="B4724" s="2" t="s">
        <v>4323</v>
      </c>
      <c r="C4724" s="2" t="s">
        <v>4673</v>
      </c>
      <c r="D4724" s="3" t="str">
        <f t="shared" si="699"/>
        <v>12Go Link</v>
      </c>
      <c r="E4724" s="2" t="s">
        <v>193</v>
      </c>
    </row>
    <row r="4725">
      <c r="A4725" s="2" t="s">
        <v>4310</v>
      </c>
      <c r="B4725" s="2" t="s">
        <v>4325</v>
      </c>
      <c r="C4725" s="2" t="s">
        <v>4674</v>
      </c>
      <c r="D4725" s="3" t="str">
        <f t="shared" ref="D4725:D4727" si="700">HYPERLINK("https://12go.asia/en/travel/OR-Tambo-International-Airport/Bela-Bela-Transfer", "12Go Link")</f>
        <v>12Go Link</v>
      </c>
      <c r="E4725" s="2" t="s">
        <v>191</v>
      </c>
    </row>
    <row r="4726">
      <c r="A4726" s="2" t="s">
        <v>4310</v>
      </c>
      <c r="B4726" s="2" t="s">
        <v>4325</v>
      </c>
      <c r="C4726" s="2" t="s">
        <v>4674</v>
      </c>
      <c r="D4726" s="3" t="str">
        <f t="shared" si="700"/>
        <v>12Go Link</v>
      </c>
      <c r="E4726" s="2" t="s">
        <v>192</v>
      </c>
    </row>
    <row r="4727">
      <c r="A4727" s="2" t="s">
        <v>4310</v>
      </c>
      <c r="B4727" s="2" t="s">
        <v>4325</v>
      </c>
      <c r="C4727" s="2" t="s">
        <v>4674</v>
      </c>
      <c r="D4727" s="3" t="str">
        <f t="shared" si="700"/>
        <v>12Go Link</v>
      </c>
      <c r="E4727" s="2" t="s">
        <v>193</v>
      </c>
    </row>
    <row r="4728">
      <c r="A4728" s="2" t="s">
        <v>4310</v>
      </c>
      <c r="B4728" s="2" t="s">
        <v>4325</v>
      </c>
      <c r="C4728" s="2" t="s">
        <v>4675</v>
      </c>
      <c r="D4728" s="3" t="str">
        <f t="shared" ref="D4728:D4730" si="701">HYPERLINK("https://12go.asia/en/travel/OR-Tambo-International-Airport/Mabula-Game-Lodge-Transfer", "12Go Link")</f>
        <v>12Go Link</v>
      </c>
      <c r="E4728" s="2" t="s">
        <v>191</v>
      </c>
    </row>
    <row r="4729">
      <c r="A4729" s="2" t="s">
        <v>4310</v>
      </c>
      <c r="B4729" s="2" t="s">
        <v>4325</v>
      </c>
      <c r="C4729" s="2" t="s">
        <v>4675</v>
      </c>
      <c r="D4729" s="3" t="str">
        <f t="shared" si="701"/>
        <v>12Go Link</v>
      </c>
      <c r="E4729" s="2" t="s">
        <v>192</v>
      </c>
    </row>
    <row r="4730">
      <c r="A4730" s="2" t="s">
        <v>4310</v>
      </c>
      <c r="B4730" s="2" t="s">
        <v>4325</v>
      </c>
      <c r="C4730" s="2" t="s">
        <v>4675</v>
      </c>
      <c r="D4730" s="3" t="str">
        <f t="shared" si="701"/>
        <v>12Go Link</v>
      </c>
      <c r="E4730" s="2" t="s">
        <v>193</v>
      </c>
    </row>
    <row r="4731">
      <c r="A4731" s="2" t="s">
        <v>4310</v>
      </c>
      <c r="B4731" s="2" t="s">
        <v>4325</v>
      </c>
      <c r="C4731" s="2" t="s">
        <v>4676</v>
      </c>
      <c r="D4731" s="3" t="str">
        <f t="shared" ref="D4731:D4733" si="702">HYPERLINK("https://12go.asia/en/travel/OR-Tambo-International-Airport/Sondela-Lodge-&amp;-Spa-Transfer", "12Go Link")</f>
        <v>12Go Link</v>
      </c>
      <c r="E4731" s="2" t="s">
        <v>191</v>
      </c>
    </row>
    <row r="4732">
      <c r="A4732" s="2" t="s">
        <v>4310</v>
      </c>
      <c r="B4732" s="2" t="s">
        <v>4325</v>
      </c>
      <c r="C4732" s="2" t="s">
        <v>4676</v>
      </c>
      <c r="D4732" s="3" t="str">
        <f t="shared" si="702"/>
        <v>12Go Link</v>
      </c>
      <c r="E4732" s="2" t="s">
        <v>192</v>
      </c>
    </row>
    <row r="4733">
      <c r="A4733" s="2" t="s">
        <v>4310</v>
      </c>
      <c r="B4733" s="2" t="s">
        <v>4325</v>
      </c>
      <c r="C4733" s="2" t="s">
        <v>4676</v>
      </c>
      <c r="D4733" s="3" t="str">
        <f t="shared" si="702"/>
        <v>12Go Link</v>
      </c>
      <c r="E4733" s="2" t="s">
        <v>193</v>
      </c>
    </row>
    <row r="4734">
      <c r="A4734" s="2" t="s">
        <v>4310</v>
      </c>
      <c r="B4734" s="2" t="s">
        <v>4325</v>
      </c>
      <c r="C4734" s="2" t="s">
        <v>4677</v>
      </c>
      <c r="D4734" s="3" t="str">
        <f t="shared" ref="D4734:D4736" si="703">HYPERLINK("https://12go.asia/en/travel/OR-Tambo-International-Airport/Zebula-Golf-&amp;-Spa-Transfer", "12Go Link")</f>
        <v>12Go Link</v>
      </c>
      <c r="E4734" s="2" t="s">
        <v>191</v>
      </c>
    </row>
    <row r="4735">
      <c r="A4735" s="2" t="s">
        <v>4310</v>
      </c>
      <c r="B4735" s="2" t="s">
        <v>4325</v>
      </c>
      <c r="C4735" s="2" t="s">
        <v>4677</v>
      </c>
      <c r="D4735" s="3" t="str">
        <f t="shared" si="703"/>
        <v>12Go Link</v>
      </c>
      <c r="E4735" s="2" t="s">
        <v>192</v>
      </c>
    </row>
    <row r="4736">
      <c r="A4736" s="2" t="s">
        <v>4310</v>
      </c>
      <c r="B4736" s="2" t="s">
        <v>4325</v>
      </c>
      <c r="C4736" s="2" t="s">
        <v>4677</v>
      </c>
      <c r="D4736" s="3" t="str">
        <f t="shared" si="703"/>
        <v>12Go Link</v>
      </c>
      <c r="E4736" s="2" t="s">
        <v>193</v>
      </c>
    </row>
    <row r="4737">
      <c r="A4737" s="2" t="s">
        <v>4310</v>
      </c>
      <c r="B4737" s="2" t="s">
        <v>4334</v>
      </c>
      <c r="C4737" s="2" t="s">
        <v>4678</v>
      </c>
      <c r="D4737" s="3" t="str">
        <f t="shared" ref="D4737:D4739" si="704">HYPERLINK("https://12go.asia/en/travel/OR-Tambo-International-Airport/Benoni-Transfer", "12Go Link")</f>
        <v>12Go Link</v>
      </c>
      <c r="E4737" s="2" t="s">
        <v>191</v>
      </c>
    </row>
    <row r="4738">
      <c r="A4738" s="2" t="s">
        <v>4310</v>
      </c>
      <c r="B4738" s="2" t="s">
        <v>4334</v>
      </c>
      <c r="C4738" s="2" t="s">
        <v>4678</v>
      </c>
      <c r="D4738" s="3" t="str">
        <f t="shared" si="704"/>
        <v>12Go Link</v>
      </c>
      <c r="E4738" s="2" t="s">
        <v>192</v>
      </c>
    </row>
    <row r="4739">
      <c r="A4739" s="2" t="s">
        <v>4310</v>
      </c>
      <c r="B4739" s="2" t="s">
        <v>4334</v>
      </c>
      <c r="C4739" s="2" t="s">
        <v>4678</v>
      </c>
      <c r="D4739" s="3" t="str">
        <f t="shared" si="704"/>
        <v>12Go Link</v>
      </c>
      <c r="E4739" s="2" t="s">
        <v>193</v>
      </c>
    </row>
    <row r="4740">
      <c r="A4740" s="2" t="s">
        <v>4310</v>
      </c>
      <c r="B4740" s="2" t="s">
        <v>4336</v>
      </c>
      <c r="C4740" s="2" t="s">
        <v>4679</v>
      </c>
      <c r="D4740" s="3" t="str">
        <f t="shared" ref="D4740:D4742" si="705">HYPERLINK("https://12go.asia/en/travel/OR-Tambo-International-Airport/Bethal-Transfer", "12Go Link")</f>
        <v>12Go Link</v>
      </c>
      <c r="E4740" s="2" t="s">
        <v>191</v>
      </c>
    </row>
    <row r="4741">
      <c r="A4741" s="2" t="s">
        <v>4310</v>
      </c>
      <c r="B4741" s="2" t="s">
        <v>4336</v>
      </c>
      <c r="C4741" s="2" t="s">
        <v>4679</v>
      </c>
      <c r="D4741" s="3" t="str">
        <f t="shared" si="705"/>
        <v>12Go Link</v>
      </c>
      <c r="E4741" s="2" t="s">
        <v>192</v>
      </c>
    </row>
    <row r="4742">
      <c r="A4742" s="2" t="s">
        <v>4310</v>
      </c>
      <c r="B4742" s="2" t="s">
        <v>4336</v>
      </c>
      <c r="C4742" s="2" t="s">
        <v>4679</v>
      </c>
      <c r="D4742" s="3" t="str">
        <f t="shared" si="705"/>
        <v>12Go Link</v>
      </c>
      <c r="E4742" s="2" t="s">
        <v>193</v>
      </c>
    </row>
    <row r="4743">
      <c r="A4743" s="2" t="s">
        <v>4310</v>
      </c>
      <c r="B4743" s="2" t="s">
        <v>4338</v>
      </c>
      <c r="C4743" s="2" t="s">
        <v>4680</v>
      </c>
      <c r="D4743" s="3" t="str">
        <f t="shared" ref="D4743:D4745" si="706">HYPERLINK("https://12go.asia/en/travel/OR-Tambo-International-Airport/Boksburg-Transfer", "12Go Link")</f>
        <v>12Go Link</v>
      </c>
      <c r="E4743" s="2" t="s">
        <v>191</v>
      </c>
    </row>
    <row r="4744">
      <c r="A4744" s="2" t="s">
        <v>4310</v>
      </c>
      <c r="B4744" s="2" t="s">
        <v>4338</v>
      </c>
      <c r="C4744" s="2" t="s">
        <v>4680</v>
      </c>
      <c r="D4744" s="3" t="str">
        <f t="shared" si="706"/>
        <v>12Go Link</v>
      </c>
      <c r="E4744" s="2" t="s">
        <v>192</v>
      </c>
    </row>
    <row r="4745">
      <c r="A4745" s="2" t="s">
        <v>4310</v>
      </c>
      <c r="B4745" s="2" t="s">
        <v>4338</v>
      </c>
      <c r="C4745" s="2" t="s">
        <v>4680</v>
      </c>
      <c r="D4745" s="3" t="str">
        <f t="shared" si="706"/>
        <v>12Go Link</v>
      </c>
      <c r="E4745" s="2" t="s">
        <v>193</v>
      </c>
    </row>
    <row r="4746">
      <c r="A4746" s="2" t="s">
        <v>4310</v>
      </c>
      <c r="B4746" s="2" t="s">
        <v>4340</v>
      </c>
      <c r="C4746" s="2" t="s">
        <v>4681</v>
      </c>
      <c r="D4746" s="3" t="str">
        <f t="shared" ref="D4746:D4748" si="707">HYPERLINK("https://12go.asia/en/travel/OR-Tambo-International-Airport/Breyten-Transfer", "12Go Link")</f>
        <v>12Go Link</v>
      </c>
      <c r="E4746" s="2" t="s">
        <v>191</v>
      </c>
    </row>
    <row r="4747">
      <c r="A4747" s="2" t="s">
        <v>4310</v>
      </c>
      <c r="B4747" s="2" t="s">
        <v>4340</v>
      </c>
      <c r="C4747" s="2" t="s">
        <v>4681</v>
      </c>
      <c r="D4747" s="3" t="str">
        <f t="shared" si="707"/>
        <v>12Go Link</v>
      </c>
      <c r="E4747" s="2" t="s">
        <v>192</v>
      </c>
    </row>
    <row r="4748">
      <c r="A4748" s="2" t="s">
        <v>4310</v>
      </c>
      <c r="B4748" s="2" t="s">
        <v>4340</v>
      </c>
      <c r="C4748" s="2" t="s">
        <v>4681</v>
      </c>
      <c r="D4748" s="3" t="str">
        <f t="shared" si="707"/>
        <v>12Go Link</v>
      </c>
      <c r="E4748" s="2" t="s">
        <v>193</v>
      </c>
    </row>
    <row r="4749">
      <c r="A4749" s="2" t="s">
        <v>4310</v>
      </c>
      <c r="B4749" s="2" t="s">
        <v>4342</v>
      </c>
      <c r="C4749" s="2" t="s">
        <v>4682</v>
      </c>
      <c r="D4749" s="3" t="str">
        <f t="shared" ref="D4749:D4751" si="708">HYPERLINK("https://12go.asia/en/travel/OR-Tambo-International-Airport/Bushbuckridge-Transfer", "12Go Link")</f>
        <v>12Go Link</v>
      </c>
      <c r="E4749" s="2" t="s">
        <v>191</v>
      </c>
    </row>
    <row r="4750">
      <c r="A4750" s="2" t="s">
        <v>4310</v>
      </c>
      <c r="B4750" s="2" t="s">
        <v>4342</v>
      </c>
      <c r="C4750" s="2" t="s">
        <v>4682</v>
      </c>
      <c r="D4750" s="3" t="str">
        <f t="shared" si="708"/>
        <v>12Go Link</v>
      </c>
      <c r="E4750" s="2" t="s">
        <v>192</v>
      </c>
    </row>
    <row r="4751">
      <c r="A4751" s="2" t="s">
        <v>4310</v>
      </c>
      <c r="B4751" s="2" t="s">
        <v>4342</v>
      </c>
      <c r="C4751" s="2" t="s">
        <v>4682</v>
      </c>
      <c r="D4751" s="3" t="str">
        <f t="shared" si="708"/>
        <v>12Go Link</v>
      </c>
      <c r="E4751" s="2" t="s">
        <v>193</v>
      </c>
    </row>
    <row r="4752">
      <c r="A4752" s="2" t="s">
        <v>4310</v>
      </c>
      <c r="B4752" s="2" t="s">
        <v>4491</v>
      </c>
      <c r="C4752" s="2" t="s">
        <v>4683</v>
      </c>
      <c r="D4752" s="3" t="str">
        <f t="shared" ref="D4752:D4754" si="709">HYPERLINK("https://12go.asia/en/travel/OR-Tambo-International-Airport/Carolina-Transfer", "12Go Link")</f>
        <v>12Go Link</v>
      </c>
      <c r="E4752" s="2" t="s">
        <v>191</v>
      </c>
    </row>
    <row r="4753">
      <c r="A4753" s="2" t="s">
        <v>4310</v>
      </c>
      <c r="B4753" s="2" t="s">
        <v>4491</v>
      </c>
      <c r="C4753" s="2" t="s">
        <v>4683</v>
      </c>
      <c r="D4753" s="3" t="str">
        <f t="shared" si="709"/>
        <v>12Go Link</v>
      </c>
      <c r="E4753" s="2" t="s">
        <v>192</v>
      </c>
    </row>
    <row r="4754">
      <c r="A4754" s="2" t="s">
        <v>4310</v>
      </c>
      <c r="B4754" s="2" t="s">
        <v>4491</v>
      </c>
      <c r="C4754" s="2" t="s">
        <v>4683</v>
      </c>
      <c r="D4754" s="3" t="str">
        <f t="shared" si="709"/>
        <v>12Go Link</v>
      </c>
      <c r="E4754" s="2" t="s">
        <v>193</v>
      </c>
    </row>
    <row r="4755">
      <c r="A4755" s="2" t="s">
        <v>4310</v>
      </c>
      <c r="B4755" s="2" t="s">
        <v>4493</v>
      </c>
      <c r="C4755" s="2" t="s">
        <v>4684</v>
      </c>
      <c r="D4755" s="3" t="str">
        <f t="shared" ref="D4755:D4757" si="710">HYPERLINK("https://12go.asia/en/travel/OR-Tambo-International-Airport/Centurion-Transfer", "12Go Link")</f>
        <v>12Go Link</v>
      </c>
      <c r="E4755" s="2" t="s">
        <v>191</v>
      </c>
    </row>
    <row r="4756">
      <c r="A4756" s="2" t="s">
        <v>4310</v>
      </c>
      <c r="B4756" s="2" t="s">
        <v>4493</v>
      </c>
      <c r="C4756" s="2" t="s">
        <v>4684</v>
      </c>
      <c r="D4756" s="3" t="str">
        <f t="shared" si="710"/>
        <v>12Go Link</v>
      </c>
      <c r="E4756" s="2" t="s">
        <v>192</v>
      </c>
    </row>
    <row r="4757">
      <c r="A4757" s="2" t="s">
        <v>4310</v>
      </c>
      <c r="B4757" s="2" t="s">
        <v>4493</v>
      </c>
      <c r="C4757" s="2" t="s">
        <v>4684</v>
      </c>
      <c r="D4757" s="3" t="str">
        <f t="shared" si="710"/>
        <v>12Go Link</v>
      </c>
      <c r="E4757" s="2" t="s">
        <v>193</v>
      </c>
    </row>
    <row r="4758">
      <c r="A4758" s="2" t="s">
        <v>4310</v>
      </c>
      <c r="B4758" s="2" t="s">
        <v>4495</v>
      </c>
      <c r="C4758" s="2" t="s">
        <v>4685</v>
      </c>
      <c r="D4758" s="3" t="str">
        <f t="shared" ref="D4758:D4760" si="711">HYPERLINK("https://12go.asia/en/travel/OR-Tambo-International-Airport/Chrissiesmeer-Transfer", "12Go Link")</f>
        <v>12Go Link</v>
      </c>
      <c r="E4758" s="2" t="s">
        <v>191</v>
      </c>
    </row>
    <row r="4759">
      <c r="A4759" s="2" t="s">
        <v>4310</v>
      </c>
      <c r="B4759" s="2" t="s">
        <v>4495</v>
      </c>
      <c r="C4759" s="2" t="s">
        <v>4685</v>
      </c>
      <c r="D4759" s="3" t="str">
        <f t="shared" si="711"/>
        <v>12Go Link</v>
      </c>
      <c r="E4759" s="2" t="s">
        <v>192</v>
      </c>
    </row>
    <row r="4760">
      <c r="A4760" s="2" t="s">
        <v>4310</v>
      </c>
      <c r="B4760" s="2" t="s">
        <v>4495</v>
      </c>
      <c r="C4760" s="2" t="s">
        <v>4685</v>
      </c>
      <c r="D4760" s="3" t="str">
        <f t="shared" si="711"/>
        <v>12Go Link</v>
      </c>
      <c r="E4760" s="2" t="s">
        <v>193</v>
      </c>
    </row>
    <row r="4761">
      <c r="A4761" s="2" t="s">
        <v>4310</v>
      </c>
      <c r="B4761" s="2" t="s">
        <v>4497</v>
      </c>
      <c r="C4761" s="2" t="s">
        <v>4686</v>
      </c>
      <c r="D4761" s="3" t="str">
        <f t="shared" ref="D4761:D4763" si="712">HYPERLINK("https://12go.asia/en/travel/OR-Tambo-International-Airport/Delmas-Transfer", "12Go Link")</f>
        <v>12Go Link</v>
      </c>
      <c r="E4761" s="2" t="s">
        <v>191</v>
      </c>
    </row>
    <row r="4762">
      <c r="A4762" s="2" t="s">
        <v>4310</v>
      </c>
      <c r="B4762" s="2" t="s">
        <v>4497</v>
      </c>
      <c r="C4762" s="2" t="s">
        <v>4686</v>
      </c>
      <c r="D4762" s="3" t="str">
        <f t="shared" si="712"/>
        <v>12Go Link</v>
      </c>
      <c r="E4762" s="2" t="s">
        <v>192</v>
      </c>
    </row>
    <row r="4763">
      <c r="A4763" s="2" t="s">
        <v>4310</v>
      </c>
      <c r="B4763" s="2" t="s">
        <v>4497</v>
      </c>
      <c r="C4763" s="2" t="s">
        <v>4686</v>
      </c>
      <c r="D4763" s="3" t="str">
        <f t="shared" si="712"/>
        <v>12Go Link</v>
      </c>
      <c r="E4763" s="2" t="s">
        <v>193</v>
      </c>
    </row>
    <row r="4764">
      <c r="A4764" s="2" t="s">
        <v>4310</v>
      </c>
      <c r="B4764" s="2" t="s">
        <v>4499</v>
      </c>
      <c r="C4764" s="2" t="s">
        <v>4687</v>
      </c>
      <c r="D4764" s="3" t="str">
        <f t="shared" ref="D4764:D4766" si="713">HYPERLINK("https://12go.asia/en/travel/OR-Tambo-International-Airport/Dullstrom-Transfer", "12Go Link")</f>
        <v>12Go Link</v>
      </c>
      <c r="E4764" s="2" t="s">
        <v>191</v>
      </c>
    </row>
    <row r="4765">
      <c r="A4765" s="2" t="s">
        <v>4310</v>
      </c>
      <c r="B4765" s="2" t="s">
        <v>4499</v>
      </c>
      <c r="C4765" s="2" t="s">
        <v>4687</v>
      </c>
      <c r="D4765" s="3" t="str">
        <f t="shared" si="713"/>
        <v>12Go Link</v>
      </c>
      <c r="E4765" s="2" t="s">
        <v>192</v>
      </c>
    </row>
    <row r="4766">
      <c r="A4766" s="2" t="s">
        <v>4310</v>
      </c>
      <c r="B4766" s="2" t="s">
        <v>4499</v>
      </c>
      <c r="C4766" s="2" t="s">
        <v>4687</v>
      </c>
      <c r="D4766" s="3" t="str">
        <f t="shared" si="713"/>
        <v>12Go Link</v>
      </c>
      <c r="E4766" s="2" t="s">
        <v>193</v>
      </c>
    </row>
    <row r="4767">
      <c r="A4767" s="2" t="s">
        <v>4310</v>
      </c>
      <c r="B4767" s="2" t="s">
        <v>4319</v>
      </c>
      <c r="C4767" s="2" t="s">
        <v>4688</v>
      </c>
      <c r="D4767" s="3" t="str">
        <f t="shared" ref="D4767:D4769" si="714">HYPERLINK("https://12go.asia/en/travel/Morningside-Transfer/Durban-International-Airport", "12Go Link")</f>
        <v>12Go Link</v>
      </c>
      <c r="E4767" s="2" t="s">
        <v>191</v>
      </c>
    </row>
    <row r="4768">
      <c r="A4768" s="2" t="s">
        <v>4310</v>
      </c>
      <c r="B4768" s="2" t="s">
        <v>4319</v>
      </c>
      <c r="C4768" s="2" t="s">
        <v>4688</v>
      </c>
      <c r="D4768" s="3" t="str">
        <f t="shared" si="714"/>
        <v>12Go Link</v>
      </c>
      <c r="E4768" s="2" t="s">
        <v>192</v>
      </c>
    </row>
    <row r="4769">
      <c r="A4769" s="2" t="s">
        <v>4310</v>
      </c>
      <c r="B4769" s="2" t="s">
        <v>4319</v>
      </c>
      <c r="C4769" s="2" t="s">
        <v>4688</v>
      </c>
      <c r="D4769" s="3" t="str">
        <f t="shared" si="714"/>
        <v>12Go Link</v>
      </c>
      <c r="E4769" s="2" t="s">
        <v>193</v>
      </c>
    </row>
    <row r="4770">
      <c r="A4770" s="2" t="s">
        <v>4310</v>
      </c>
      <c r="B4770" s="2" t="s">
        <v>4559</v>
      </c>
      <c r="C4770" s="2" t="s">
        <v>4689</v>
      </c>
      <c r="D4770" s="3" t="str">
        <f t="shared" ref="D4770:D4772" si="715">HYPERLINK("https://12go.asia/en/travel/OR-Tambo-International-Airport/eMakhazeni-Transfer", "12Go Link")</f>
        <v>12Go Link</v>
      </c>
      <c r="E4770" s="2" t="s">
        <v>191</v>
      </c>
    </row>
    <row r="4771">
      <c r="A4771" s="2" t="s">
        <v>4310</v>
      </c>
      <c r="B4771" s="2" t="s">
        <v>4559</v>
      </c>
      <c r="C4771" s="2" t="s">
        <v>4689</v>
      </c>
      <c r="D4771" s="3" t="str">
        <f t="shared" si="715"/>
        <v>12Go Link</v>
      </c>
      <c r="E4771" s="2" t="s">
        <v>192</v>
      </c>
    </row>
    <row r="4772">
      <c r="A4772" s="2" t="s">
        <v>4310</v>
      </c>
      <c r="B4772" s="2" t="s">
        <v>4559</v>
      </c>
      <c r="C4772" s="2" t="s">
        <v>4689</v>
      </c>
      <c r="D4772" s="3" t="str">
        <f t="shared" si="715"/>
        <v>12Go Link</v>
      </c>
      <c r="E4772" s="2" t="s">
        <v>193</v>
      </c>
    </row>
    <row r="4773">
      <c r="A4773" s="2" t="s">
        <v>4310</v>
      </c>
      <c r="B4773" s="2" t="s">
        <v>4561</v>
      </c>
      <c r="C4773" s="2" t="s">
        <v>4690</v>
      </c>
      <c r="D4773" s="3" t="str">
        <f t="shared" ref="D4773:D4775" si="716">HYPERLINK("https://12go.asia/en/travel/OR-Tambo-International-Airport/eMalahleni-Transfer", "12Go Link")</f>
        <v>12Go Link</v>
      </c>
      <c r="E4773" s="2" t="s">
        <v>191</v>
      </c>
    </row>
    <row r="4774">
      <c r="A4774" s="2" t="s">
        <v>4310</v>
      </c>
      <c r="B4774" s="2" t="s">
        <v>4561</v>
      </c>
      <c r="C4774" s="2" t="s">
        <v>4690</v>
      </c>
      <c r="D4774" s="3" t="str">
        <f t="shared" si="716"/>
        <v>12Go Link</v>
      </c>
      <c r="E4774" s="2" t="s">
        <v>192</v>
      </c>
    </row>
    <row r="4775">
      <c r="A4775" s="2" t="s">
        <v>4310</v>
      </c>
      <c r="B4775" s="2" t="s">
        <v>4561</v>
      </c>
      <c r="C4775" s="2" t="s">
        <v>4690</v>
      </c>
      <c r="D4775" s="3" t="str">
        <f t="shared" si="716"/>
        <v>12Go Link</v>
      </c>
      <c r="E4775" s="2" t="s">
        <v>193</v>
      </c>
    </row>
    <row r="4776">
      <c r="A4776" s="2" t="s">
        <v>4310</v>
      </c>
      <c r="B4776" s="2" t="s">
        <v>4561</v>
      </c>
      <c r="C4776" s="2" t="s">
        <v>4691</v>
      </c>
      <c r="D4776" s="3" t="str">
        <f t="shared" ref="D4776:D4778" si="717">HYPERLINK("https://12go.asia/en/travel/OR-Tambo-International-Airport/KrielOgies-Transfer", "12Go Link")</f>
        <v>12Go Link</v>
      </c>
      <c r="E4776" s="2" t="s">
        <v>191</v>
      </c>
    </row>
    <row r="4777">
      <c r="A4777" s="2" t="s">
        <v>4310</v>
      </c>
      <c r="B4777" s="2" t="s">
        <v>4561</v>
      </c>
      <c r="C4777" s="2" t="s">
        <v>4691</v>
      </c>
      <c r="D4777" s="3" t="str">
        <f t="shared" si="717"/>
        <v>12Go Link</v>
      </c>
      <c r="E4777" s="2" t="s">
        <v>192</v>
      </c>
    </row>
    <row r="4778">
      <c r="A4778" s="2" t="s">
        <v>4310</v>
      </c>
      <c r="B4778" s="2" t="s">
        <v>4561</v>
      </c>
      <c r="C4778" s="2" t="s">
        <v>4691</v>
      </c>
      <c r="D4778" s="3" t="str">
        <f t="shared" si="717"/>
        <v>12Go Link</v>
      </c>
      <c r="E4778" s="2" t="s">
        <v>193</v>
      </c>
    </row>
    <row r="4779">
      <c r="A4779" s="2" t="s">
        <v>4310</v>
      </c>
      <c r="B4779" s="2" t="s">
        <v>4564</v>
      </c>
      <c r="C4779" s="2" t="s">
        <v>4692</v>
      </c>
      <c r="D4779" s="3" t="str">
        <f t="shared" ref="D4779:D4781" si="718">HYPERLINK("https://12go.asia/en/travel/OR-Tambo-International-Airport/Badplaas-Transfer", "12Go Link")</f>
        <v>12Go Link</v>
      </c>
      <c r="E4779" s="2" t="s">
        <v>191</v>
      </c>
    </row>
    <row r="4780">
      <c r="A4780" s="2" t="s">
        <v>4310</v>
      </c>
      <c r="B4780" s="2" t="s">
        <v>4564</v>
      </c>
      <c r="C4780" s="2" t="s">
        <v>4692</v>
      </c>
      <c r="D4780" s="3" t="str">
        <f t="shared" si="718"/>
        <v>12Go Link</v>
      </c>
      <c r="E4780" s="2" t="s">
        <v>192</v>
      </c>
    </row>
    <row r="4781">
      <c r="A4781" s="2" t="s">
        <v>4310</v>
      </c>
      <c r="B4781" s="2" t="s">
        <v>4564</v>
      </c>
      <c r="C4781" s="2" t="s">
        <v>4692</v>
      </c>
      <c r="D4781" s="3" t="str">
        <f t="shared" si="718"/>
        <v>12Go Link</v>
      </c>
      <c r="E4781" s="2" t="s">
        <v>193</v>
      </c>
    </row>
    <row r="4782">
      <c r="A4782" s="2" t="s">
        <v>4310</v>
      </c>
      <c r="B4782" s="2" t="s">
        <v>4568</v>
      </c>
      <c r="C4782" s="2" t="s">
        <v>4693</v>
      </c>
      <c r="D4782" s="3" t="str">
        <f t="shared" ref="D4782:D4784" si="719">HYPERLINK("https://12go.asia/en/travel/OR-Tambo-International-Airport/Amsterdam-Transfer", "12Go Link")</f>
        <v>12Go Link</v>
      </c>
      <c r="E4782" s="2" t="s">
        <v>191</v>
      </c>
    </row>
    <row r="4783">
      <c r="A4783" s="2" t="s">
        <v>4310</v>
      </c>
      <c r="B4783" s="2" t="s">
        <v>4568</v>
      </c>
      <c r="C4783" s="2" t="s">
        <v>4693</v>
      </c>
      <c r="D4783" s="3" t="str">
        <f t="shared" si="719"/>
        <v>12Go Link</v>
      </c>
      <c r="E4783" s="2" t="s">
        <v>192</v>
      </c>
    </row>
    <row r="4784">
      <c r="A4784" s="2" t="s">
        <v>4310</v>
      </c>
      <c r="B4784" s="2" t="s">
        <v>4568</v>
      </c>
      <c r="C4784" s="2" t="s">
        <v>4693</v>
      </c>
      <c r="D4784" s="3" t="str">
        <f t="shared" si="719"/>
        <v>12Go Link</v>
      </c>
      <c r="E4784" s="2" t="s">
        <v>193</v>
      </c>
    </row>
    <row r="4785">
      <c r="A4785" s="2" t="s">
        <v>4310</v>
      </c>
      <c r="B4785" s="2" t="s">
        <v>4570</v>
      </c>
      <c r="C4785" s="2" t="s">
        <v>4694</v>
      </c>
      <c r="D4785" s="3" t="str">
        <f t="shared" ref="D4785:D4787" si="720">HYPERLINK("https://12go.asia/en/travel/OR-Tambo-International-Airport/Ermelo-Transfer", "12Go Link")</f>
        <v>12Go Link</v>
      </c>
      <c r="E4785" s="2" t="s">
        <v>191</v>
      </c>
    </row>
    <row r="4786">
      <c r="A4786" s="2" t="s">
        <v>4310</v>
      </c>
      <c r="B4786" s="2" t="s">
        <v>4570</v>
      </c>
      <c r="C4786" s="2" t="s">
        <v>4694</v>
      </c>
      <c r="D4786" s="3" t="str">
        <f t="shared" si="720"/>
        <v>12Go Link</v>
      </c>
      <c r="E4786" s="2" t="s">
        <v>192</v>
      </c>
    </row>
    <row r="4787">
      <c r="A4787" s="2" t="s">
        <v>4310</v>
      </c>
      <c r="B4787" s="2" t="s">
        <v>4570</v>
      </c>
      <c r="C4787" s="2" t="s">
        <v>4694</v>
      </c>
      <c r="D4787" s="3" t="str">
        <f t="shared" si="720"/>
        <v>12Go Link</v>
      </c>
      <c r="E4787" s="2" t="s">
        <v>193</v>
      </c>
    </row>
    <row r="4788">
      <c r="A4788" s="2" t="s">
        <v>4310</v>
      </c>
      <c r="B4788" s="2" t="s">
        <v>4578</v>
      </c>
      <c r="C4788" s="2" t="s">
        <v>4695</v>
      </c>
      <c r="D4788" s="3" t="str">
        <f t="shared" ref="D4788:D4790" si="721">HYPERLINK("https://12go.asia/en/travel/OR-Tambo-International-Airport/Bedford-Gardens-Transfer", "12Go Link")</f>
        <v>12Go Link</v>
      </c>
      <c r="E4788" s="2" t="s">
        <v>191</v>
      </c>
    </row>
    <row r="4789">
      <c r="A4789" s="2" t="s">
        <v>4310</v>
      </c>
      <c r="B4789" s="2" t="s">
        <v>4578</v>
      </c>
      <c r="C4789" s="2" t="s">
        <v>4695</v>
      </c>
      <c r="D4789" s="3" t="str">
        <f t="shared" si="721"/>
        <v>12Go Link</v>
      </c>
      <c r="E4789" s="2" t="s">
        <v>192</v>
      </c>
    </row>
    <row r="4790">
      <c r="A4790" s="2" t="s">
        <v>4310</v>
      </c>
      <c r="B4790" s="2" t="s">
        <v>4578</v>
      </c>
      <c r="C4790" s="2" t="s">
        <v>4695</v>
      </c>
      <c r="D4790" s="3" t="str">
        <f t="shared" si="721"/>
        <v>12Go Link</v>
      </c>
      <c r="E4790" s="2" t="s">
        <v>193</v>
      </c>
    </row>
    <row r="4791">
      <c r="A4791" s="2" t="s">
        <v>4310</v>
      </c>
      <c r="B4791" s="2" t="s">
        <v>4307</v>
      </c>
      <c r="C4791" s="2" t="s">
        <v>4696</v>
      </c>
      <c r="D4791" s="3" t="str">
        <f t="shared" ref="D4791:D4793" si="722">HYPERLINK("https://12go.asia/en/travel/Milpark-Transfer/Chief-Dawid-Stuurman-Intl-Airport", "12Go Link")</f>
        <v>12Go Link</v>
      </c>
      <c r="E4791" s="2" t="s">
        <v>191</v>
      </c>
    </row>
    <row r="4792">
      <c r="A4792" s="2" t="s">
        <v>4310</v>
      </c>
      <c r="B4792" s="2" t="s">
        <v>4307</v>
      </c>
      <c r="C4792" s="2" t="s">
        <v>4696</v>
      </c>
      <c r="D4792" s="3" t="str">
        <f t="shared" si="722"/>
        <v>12Go Link</v>
      </c>
      <c r="E4792" s="2" t="s">
        <v>192</v>
      </c>
    </row>
    <row r="4793">
      <c r="A4793" s="2" t="s">
        <v>4310</v>
      </c>
      <c r="B4793" s="2" t="s">
        <v>4307</v>
      </c>
      <c r="C4793" s="2" t="s">
        <v>4696</v>
      </c>
      <c r="D4793" s="3" t="str">
        <f t="shared" si="722"/>
        <v>12Go Link</v>
      </c>
      <c r="E4793" s="2" t="s">
        <v>193</v>
      </c>
    </row>
    <row r="4794">
      <c r="A4794" s="2" t="s">
        <v>4310</v>
      </c>
      <c r="B4794" s="2" t="s">
        <v>4654</v>
      </c>
      <c r="C4794" s="2" t="s">
        <v>4697</v>
      </c>
      <c r="D4794" s="3" t="str">
        <f t="shared" ref="D4794:D4796" si="723">HYPERLINK("https://12go.asia/en/travel/OR-Tambo-International-Airport/Graskop-Transfer", "12Go Link")</f>
        <v>12Go Link</v>
      </c>
      <c r="E4794" s="2" t="s">
        <v>191</v>
      </c>
    </row>
    <row r="4795">
      <c r="A4795" s="2" t="s">
        <v>4310</v>
      </c>
      <c r="B4795" s="2" t="s">
        <v>4654</v>
      </c>
      <c r="C4795" s="2" t="s">
        <v>4697</v>
      </c>
      <c r="D4795" s="3" t="str">
        <f t="shared" si="723"/>
        <v>12Go Link</v>
      </c>
      <c r="E4795" s="2" t="s">
        <v>192</v>
      </c>
    </row>
    <row r="4796">
      <c r="A4796" s="2" t="s">
        <v>4310</v>
      </c>
      <c r="B4796" s="2" t="s">
        <v>4654</v>
      </c>
      <c r="C4796" s="2" t="s">
        <v>4697</v>
      </c>
      <c r="D4796" s="3" t="str">
        <f t="shared" si="723"/>
        <v>12Go Link</v>
      </c>
      <c r="E4796" s="2" t="s">
        <v>193</v>
      </c>
    </row>
    <row r="4797">
      <c r="A4797" s="2" t="s">
        <v>4310</v>
      </c>
      <c r="B4797" s="2" t="s">
        <v>4656</v>
      </c>
      <c r="C4797" s="2" t="s">
        <v>4698</v>
      </c>
      <c r="D4797" s="3" t="str">
        <f t="shared" ref="D4797:D4799" si="724">HYPERLINK("https://12go.asia/en/travel/OR-Tambo-International-Airport/Greylingstad-Transfer", "12Go Link")</f>
        <v>12Go Link</v>
      </c>
      <c r="E4797" s="2" t="s">
        <v>191</v>
      </c>
    </row>
    <row r="4798">
      <c r="A4798" s="2" t="s">
        <v>4310</v>
      </c>
      <c r="B4798" s="2" t="s">
        <v>4656</v>
      </c>
      <c r="C4798" s="2" t="s">
        <v>4698</v>
      </c>
      <c r="D4798" s="3" t="str">
        <f t="shared" si="724"/>
        <v>12Go Link</v>
      </c>
      <c r="E4798" s="2" t="s">
        <v>192</v>
      </c>
    </row>
    <row r="4799">
      <c r="A4799" s="2" t="s">
        <v>4310</v>
      </c>
      <c r="B4799" s="2" t="s">
        <v>4656</v>
      </c>
      <c r="C4799" s="2" t="s">
        <v>4698</v>
      </c>
      <c r="D4799" s="3" t="str">
        <f t="shared" si="724"/>
        <v>12Go Link</v>
      </c>
      <c r="E4799" s="2" t="s">
        <v>193</v>
      </c>
    </row>
    <row r="4800">
      <c r="A4800" s="2" t="s">
        <v>4310</v>
      </c>
      <c r="B4800" s="2" t="s">
        <v>4658</v>
      </c>
      <c r="C4800" s="2" t="s">
        <v>4699</v>
      </c>
      <c r="D4800" s="3" t="str">
        <f t="shared" ref="D4800:D4802" si="725">HYPERLINK("https://12go.asia/en/travel/OR-Tambo-International-Airport/Hartesbpoort-Transfer", "12Go Link")</f>
        <v>12Go Link</v>
      </c>
      <c r="E4800" s="2" t="s">
        <v>191</v>
      </c>
    </row>
    <row r="4801">
      <c r="A4801" s="2" t="s">
        <v>4310</v>
      </c>
      <c r="B4801" s="2" t="s">
        <v>4658</v>
      </c>
      <c r="C4801" s="2" t="s">
        <v>4699</v>
      </c>
      <c r="D4801" s="3" t="str">
        <f t="shared" si="725"/>
        <v>12Go Link</v>
      </c>
      <c r="E4801" s="2" t="s">
        <v>192</v>
      </c>
    </row>
    <row r="4802">
      <c r="A4802" s="2" t="s">
        <v>4310</v>
      </c>
      <c r="B4802" s="2" t="s">
        <v>4658</v>
      </c>
      <c r="C4802" s="2" t="s">
        <v>4699</v>
      </c>
      <c r="D4802" s="3" t="str">
        <f t="shared" si="725"/>
        <v>12Go Link</v>
      </c>
      <c r="E4802" s="2" t="s">
        <v>193</v>
      </c>
    </row>
    <row r="4803">
      <c r="A4803" s="2" t="s">
        <v>4310</v>
      </c>
      <c r="B4803" s="2" t="s">
        <v>4660</v>
      </c>
      <c r="C4803" s="2" t="s">
        <v>4700</v>
      </c>
      <c r="D4803" s="3" t="str">
        <f t="shared" ref="D4803:D4805" si="726">HYPERLINK("https://12go.asia/en/travel/OR-Tambo-International-Airport/Hazyview-Transfer", "12Go Link")</f>
        <v>12Go Link</v>
      </c>
      <c r="E4803" s="2" t="s">
        <v>191</v>
      </c>
    </row>
    <row r="4804">
      <c r="A4804" s="2" t="s">
        <v>4310</v>
      </c>
      <c r="B4804" s="2" t="s">
        <v>4660</v>
      </c>
      <c r="C4804" s="2" t="s">
        <v>4700</v>
      </c>
      <c r="D4804" s="3" t="str">
        <f t="shared" si="726"/>
        <v>12Go Link</v>
      </c>
      <c r="E4804" s="2" t="s">
        <v>192</v>
      </c>
    </row>
    <row r="4805">
      <c r="A4805" s="2" t="s">
        <v>4310</v>
      </c>
      <c r="B4805" s="2" t="s">
        <v>4660</v>
      </c>
      <c r="C4805" s="2" t="s">
        <v>4700</v>
      </c>
      <c r="D4805" s="3" t="str">
        <f t="shared" si="726"/>
        <v>12Go Link</v>
      </c>
      <c r="E4805" s="2" t="s">
        <v>193</v>
      </c>
    </row>
    <row r="4806">
      <c r="A4806" s="2" t="s">
        <v>4310</v>
      </c>
      <c r="B4806" s="2" t="s">
        <v>4662</v>
      </c>
      <c r="C4806" s="2" t="s">
        <v>4701</v>
      </c>
      <c r="D4806" s="3" t="str">
        <f t="shared" ref="D4806:D4808" si="727">HYPERLINK("https://12go.asia/en/travel/OR-Tambo-International-Airport/Hectorspruit-Transfer", "12Go Link")</f>
        <v>12Go Link</v>
      </c>
      <c r="E4806" s="2" t="s">
        <v>191</v>
      </c>
    </row>
    <row r="4807">
      <c r="A4807" s="2" t="s">
        <v>4310</v>
      </c>
      <c r="B4807" s="2" t="s">
        <v>4662</v>
      </c>
      <c r="C4807" s="2" t="s">
        <v>4701</v>
      </c>
      <c r="D4807" s="3" t="str">
        <f t="shared" si="727"/>
        <v>12Go Link</v>
      </c>
      <c r="E4807" s="2" t="s">
        <v>192</v>
      </c>
    </row>
    <row r="4808">
      <c r="A4808" s="2" t="s">
        <v>4310</v>
      </c>
      <c r="B4808" s="2" t="s">
        <v>4662</v>
      </c>
      <c r="C4808" s="2" t="s">
        <v>4701</v>
      </c>
      <c r="D4808" s="3" t="str">
        <f t="shared" si="727"/>
        <v>12Go Link</v>
      </c>
      <c r="E4808" s="2" t="s">
        <v>193</v>
      </c>
    </row>
    <row r="4809">
      <c r="A4809" s="2" t="s">
        <v>4310</v>
      </c>
      <c r="B4809" s="2" t="s">
        <v>4664</v>
      </c>
      <c r="C4809" s="2" t="s">
        <v>4702</v>
      </c>
      <c r="D4809" s="3" t="str">
        <f t="shared" ref="D4809:D4811" si="728">HYPERLINK("https://12go.asia/en/travel/OR-Tambo-International-Airport/Hendrina-Transfer", "12Go Link")</f>
        <v>12Go Link</v>
      </c>
      <c r="E4809" s="2" t="s">
        <v>191</v>
      </c>
    </row>
    <row r="4810">
      <c r="A4810" s="2" t="s">
        <v>4310</v>
      </c>
      <c r="B4810" s="2" t="s">
        <v>4664</v>
      </c>
      <c r="C4810" s="2" t="s">
        <v>4702</v>
      </c>
      <c r="D4810" s="3" t="str">
        <f t="shared" si="728"/>
        <v>12Go Link</v>
      </c>
      <c r="E4810" s="2" t="s">
        <v>192</v>
      </c>
    </row>
    <row r="4811">
      <c r="A4811" s="2" t="s">
        <v>4310</v>
      </c>
      <c r="B4811" s="2" t="s">
        <v>4664</v>
      </c>
      <c r="C4811" s="2" t="s">
        <v>4702</v>
      </c>
      <c r="D4811" s="3" t="str">
        <f t="shared" si="728"/>
        <v>12Go Link</v>
      </c>
      <c r="E4811" s="2" t="s">
        <v>193</v>
      </c>
    </row>
    <row r="4812">
      <c r="A4812" s="2" t="s">
        <v>4310</v>
      </c>
      <c r="B4812" s="2" t="s">
        <v>4310</v>
      </c>
      <c r="C4812" s="2" t="s">
        <v>4703</v>
      </c>
      <c r="D4812" s="3" t="str">
        <f t="shared" ref="D4812:D4814" si="729">HYPERLINK("https://12go.asia/en/travel/Abbotsford-Transfer/OR-Tambo-International-Airport", "12Go Link")</f>
        <v>12Go Link</v>
      </c>
      <c r="E4812" s="2" t="s">
        <v>191</v>
      </c>
    </row>
    <row r="4813">
      <c r="A4813" s="2" t="s">
        <v>4310</v>
      </c>
      <c r="B4813" s="2" t="s">
        <v>4310</v>
      </c>
      <c r="C4813" s="2" t="s">
        <v>4703</v>
      </c>
      <c r="D4813" s="3" t="str">
        <f t="shared" si="729"/>
        <v>12Go Link</v>
      </c>
      <c r="E4813" s="2" t="s">
        <v>192</v>
      </c>
    </row>
    <row r="4814">
      <c r="A4814" s="2" t="s">
        <v>4310</v>
      </c>
      <c r="B4814" s="2" t="s">
        <v>4310</v>
      </c>
      <c r="C4814" s="2" t="s">
        <v>4703</v>
      </c>
      <c r="D4814" s="3" t="str">
        <f t="shared" si="729"/>
        <v>12Go Link</v>
      </c>
      <c r="E4814" s="2" t="s">
        <v>193</v>
      </c>
    </row>
    <row r="4815">
      <c r="A4815" s="2" t="s">
        <v>4310</v>
      </c>
      <c r="B4815" s="2" t="s">
        <v>4310</v>
      </c>
      <c r="C4815" s="2" t="s">
        <v>4704</v>
      </c>
      <c r="D4815" s="3" t="str">
        <f t="shared" ref="D4815:D4817" si="730">HYPERLINK("https://12go.asia/en/travel/Albertville-Transfer/OR-Tambo-International-Airport", "12Go Link")</f>
        <v>12Go Link</v>
      </c>
      <c r="E4815" s="2" t="s">
        <v>191</v>
      </c>
    </row>
    <row r="4816">
      <c r="A4816" s="2" t="s">
        <v>4310</v>
      </c>
      <c r="B4816" s="2" t="s">
        <v>4310</v>
      </c>
      <c r="C4816" s="2" t="s">
        <v>4704</v>
      </c>
      <c r="D4816" s="3" t="str">
        <f t="shared" si="730"/>
        <v>12Go Link</v>
      </c>
      <c r="E4816" s="2" t="s">
        <v>192</v>
      </c>
    </row>
    <row r="4817">
      <c r="A4817" s="2" t="s">
        <v>4310</v>
      </c>
      <c r="B4817" s="2" t="s">
        <v>4310</v>
      </c>
      <c r="C4817" s="2" t="s">
        <v>4704</v>
      </c>
      <c r="D4817" s="3" t="str">
        <f t="shared" si="730"/>
        <v>12Go Link</v>
      </c>
      <c r="E4817" s="2" t="s">
        <v>193</v>
      </c>
    </row>
    <row r="4818">
      <c r="A4818" s="2" t="s">
        <v>4310</v>
      </c>
      <c r="B4818" s="2" t="s">
        <v>4310</v>
      </c>
      <c r="C4818" s="2" t="s">
        <v>4705</v>
      </c>
      <c r="D4818" s="3" t="str">
        <f t="shared" ref="D4818:D4820" si="731">HYPERLINK("https://12go.asia/en/travel/Atholl-Transfer/OR-Tambo-International-Airport", "12Go Link")</f>
        <v>12Go Link</v>
      </c>
      <c r="E4818" s="2" t="s">
        <v>191</v>
      </c>
    </row>
    <row r="4819">
      <c r="A4819" s="2" t="s">
        <v>4310</v>
      </c>
      <c r="B4819" s="2" t="s">
        <v>4310</v>
      </c>
      <c r="C4819" s="2" t="s">
        <v>4705</v>
      </c>
      <c r="D4819" s="3" t="str">
        <f t="shared" si="731"/>
        <v>12Go Link</v>
      </c>
      <c r="E4819" s="2" t="s">
        <v>192</v>
      </c>
    </row>
    <row r="4820">
      <c r="A4820" s="2" t="s">
        <v>4310</v>
      </c>
      <c r="B4820" s="2" t="s">
        <v>4310</v>
      </c>
      <c r="C4820" s="2" t="s">
        <v>4705</v>
      </c>
      <c r="D4820" s="3" t="str">
        <f t="shared" si="731"/>
        <v>12Go Link</v>
      </c>
      <c r="E4820" s="2" t="s">
        <v>193</v>
      </c>
    </row>
    <row r="4821">
      <c r="A4821" s="2" t="s">
        <v>4310</v>
      </c>
      <c r="B4821" s="2" t="s">
        <v>4310</v>
      </c>
      <c r="C4821" s="2" t="s">
        <v>4706</v>
      </c>
      <c r="D4821" s="3" t="str">
        <f t="shared" ref="D4821:D4823" si="732">HYPERLINK("https://12go.asia/en/travel/Auckland-Park-Transfer/OR-Tambo-International-Airport", "12Go Link")</f>
        <v>12Go Link</v>
      </c>
      <c r="E4821" s="2" t="s">
        <v>191</v>
      </c>
    </row>
    <row r="4822">
      <c r="A4822" s="2" t="s">
        <v>4310</v>
      </c>
      <c r="B4822" s="2" t="s">
        <v>4310</v>
      </c>
      <c r="C4822" s="2" t="s">
        <v>4706</v>
      </c>
      <c r="D4822" s="3" t="str">
        <f t="shared" si="732"/>
        <v>12Go Link</v>
      </c>
      <c r="E4822" s="2" t="s">
        <v>192</v>
      </c>
    </row>
    <row r="4823">
      <c r="A4823" s="2" t="s">
        <v>4310</v>
      </c>
      <c r="B4823" s="2" t="s">
        <v>4310</v>
      </c>
      <c r="C4823" s="2" t="s">
        <v>4706</v>
      </c>
      <c r="D4823" s="3" t="str">
        <f t="shared" si="732"/>
        <v>12Go Link</v>
      </c>
      <c r="E4823" s="2" t="s">
        <v>193</v>
      </c>
    </row>
    <row r="4824">
      <c r="A4824" s="2" t="s">
        <v>4310</v>
      </c>
      <c r="B4824" s="2" t="s">
        <v>4310</v>
      </c>
      <c r="C4824" s="2" t="s">
        <v>4707</v>
      </c>
      <c r="D4824" s="3" t="str">
        <f t="shared" ref="D4824:D4826" si="733">HYPERLINK("https://12go.asia/en/travel/Bedford-View-Transfer/OR-Tambo-International-Airport", "12Go Link")</f>
        <v>12Go Link</v>
      </c>
      <c r="E4824" s="2" t="s">
        <v>191</v>
      </c>
    </row>
    <row r="4825">
      <c r="A4825" s="2" t="s">
        <v>4310</v>
      </c>
      <c r="B4825" s="2" t="s">
        <v>4310</v>
      </c>
      <c r="C4825" s="2" t="s">
        <v>4707</v>
      </c>
      <c r="D4825" s="3" t="str">
        <f t="shared" si="733"/>
        <v>12Go Link</v>
      </c>
      <c r="E4825" s="2" t="s">
        <v>192</v>
      </c>
    </row>
    <row r="4826">
      <c r="A4826" s="2" t="s">
        <v>4310</v>
      </c>
      <c r="B4826" s="2" t="s">
        <v>4310</v>
      </c>
      <c r="C4826" s="2" t="s">
        <v>4707</v>
      </c>
      <c r="D4826" s="3" t="str">
        <f t="shared" si="733"/>
        <v>12Go Link</v>
      </c>
      <c r="E4826" s="2" t="s">
        <v>193</v>
      </c>
    </row>
    <row r="4827">
      <c r="A4827" s="2" t="s">
        <v>4310</v>
      </c>
      <c r="B4827" s="2" t="s">
        <v>4310</v>
      </c>
      <c r="C4827" s="2" t="s">
        <v>4708</v>
      </c>
      <c r="D4827" s="3" t="str">
        <f t="shared" ref="D4827:D4829" si="734">HYPERLINK("https://12go.asia/en/travel/Bellevue-Transfer/OR-Tambo-International-Airport", "12Go Link")</f>
        <v>12Go Link</v>
      </c>
      <c r="E4827" s="2" t="s">
        <v>191</v>
      </c>
    </row>
    <row r="4828">
      <c r="A4828" s="2" t="s">
        <v>4310</v>
      </c>
      <c r="B4828" s="2" t="s">
        <v>4310</v>
      </c>
      <c r="C4828" s="2" t="s">
        <v>4708</v>
      </c>
      <c r="D4828" s="3" t="str">
        <f t="shared" si="734"/>
        <v>12Go Link</v>
      </c>
      <c r="E4828" s="2" t="s">
        <v>192</v>
      </c>
    </row>
    <row r="4829">
      <c r="A4829" s="2" t="s">
        <v>4310</v>
      </c>
      <c r="B4829" s="2" t="s">
        <v>4310</v>
      </c>
      <c r="C4829" s="2" t="s">
        <v>4708</v>
      </c>
      <c r="D4829" s="3" t="str">
        <f t="shared" si="734"/>
        <v>12Go Link</v>
      </c>
      <c r="E4829" s="2" t="s">
        <v>193</v>
      </c>
    </row>
    <row r="4830">
      <c r="A4830" s="2" t="s">
        <v>4310</v>
      </c>
      <c r="B4830" s="2" t="s">
        <v>4310</v>
      </c>
      <c r="C4830" s="2" t="s">
        <v>4709</v>
      </c>
      <c r="D4830" s="3" t="str">
        <f t="shared" ref="D4830:D4832" si="735">HYPERLINK("https://12go.asia/en/travel/Bezuidenhout-Valley-Transfer/OR-Tambo-International-Airport", "12Go Link")</f>
        <v>12Go Link</v>
      </c>
      <c r="E4830" s="2" t="s">
        <v>191</v>
      </c>
    </row>
    <row r="4831">
      <c r="A4831" s="2" t="s">
        <v>4310</v>
      </c>
      <c r="B4831" s="2" t="s">
        <v>4310</v>
      </c>
      <c r="C4831" s="2" t="s">
        <v>4709</v>
      </c>
      <c r="D4831" s="3" t="str">
        <f t="shared" si="735"/>
        <v>12Go Link</v>
      </c>
      <c r="E4831" s="2" t="s">
        <v>192</v>
      </c>
    </row>
    <row r="4832">
      <c r="A4832" s="2" t="s">
        <v>4310</v>
      </c>
      <c r="B4832" s="2" t="s">
        <v>4310</v>
      </c>
      <c r="C4832" s="2" t="s">
        <v>4709</v>
      </c>
      <c r="D4832" s="3" t="str">
        <f t="shared" si="735"/>
        <v>12Go Link</v>
      </c>
      <c r="E4832" s="2" t="s">
        <v>193</v>
      </c>
    </row>
    <row r="4833">
      <c r="A4833" s="2" t="s">
        <v>4310</v>
      </c>
      <c r="B4833" s="2" t="s">
        <v>4310</v>
      </c>
      <c r="C4833" s="2" t="s">
        <v>4710</v>
      </c>
      <c r="D4833" s="3" t="str">
        <f t="shared" ref="D4833:D4835" si="736">HYPERLINK("https://12go.asia/en/travel/Cyrildene-Transfer/OR-Tambo-International-Airport", "12Go Link")</f>
        <v>12Go Link</v>
      </c>
      <c r="E4833" s="2" t="s">
        <v>191</v>
      </c>
    </row>
    <row r="4834">
      <c r="A4834" s="2" t="s">
        <v>4310</v>
      </c>
      <c r="B4834" s="2" t="s">
        <v>4310</v>
      </c>
      <c r="C4834" s="2" t="s">
        <v>4710</v>
      </c>
      <c r="D4834" s="3" t="str">
        <f t="shared" si="736"/>
        <v>12Go Link</v>
      </c>
      <c r="E4834" s="2" t="s">
        <v>192</v>
      </c>
    </row>
    <row r="4835">
      <c r="A4835" s="2" t="s">
        <v>4310</v>
      </c>
      <c r="B4835" s="2" t="s">
        <v>4310</v>
      </c>
      <c r="C4835" s="2" t="s">
        <v>4710</v>
      </c>
      <c r="D4835" s="3" t="str">
        <f t="shared" si="736"/>
        <v>12Go Link</v>
      </c>
      <c r="E4835" s="2" t="s">
        <v>193</v>
      </c>
    </row>
    <row r="4836">
      <c r="A4836" s="2" t="s">
        <v>4310</v>
      </c>
      <c r="B4836" s="2" t="s">
        <v>4310</v>
      </c>
      <c r="C4836" s="2" t="s">
        <v>4711</v>
      </c>
      <c r="D4836" s="3" t="str">
        <f t="shared" ref="D4836:D4838" si="737">HYPERLINK("https://12go.asia/en/travel/Fourways-Transfer/OR-Tambo-International-Airport", "12Go Link")</f>
        <v>12Go Link</v>
      </c>
      <c r="E4836" s="2" t="s">
        <v>191</v>
      </c>
    </row>
    <row r="4837">
      <c r="A4837" s="2" t="s">
        <v>4310</v>
      </c>
      <c r="B4837" s="2" t="s">
        <v>4310</v>
      </c>
      <c r="C4837" s="2" t="s">
        <v>4711</v>
      </c>
      <c r="D4837" s="3" t="str">
        <f t="shared" si="737"/>
        <v>12Go Link</v>
      </c>
      <c r="E4837" s="2" t="s">
        <v>192</v>
      </c>
    </row>
    <row r="4838">
      <c r="A4838" s="2" t="s">
        <v>4310</v>
      </c>
      <c r="B4838" s="2" t="s">
        <v>4310</v>
      </c>
      <c r="C4838" s="2" t="s">
        <v>4711</v>
      </c>
      <c r="D4838" s="3" t="str">
        <f t="shared" si="737"/>
        <v>12Go Link</v>
      </c>
      <c r="E4838" s="2" t="s">
        <v>193</v>
      </c>
    </row>
    <row r="4839">
      <c r="A4839" s="2" t="s">
        <v>4310</v>
      </c>
      <c r="B4839" s="2" t="s">
        <v>4310</v>
      </c>
      <c r="C4839" s="2" t="s">
        <v>4712</v>
      </c>
      <c r="D4839" s="3" t="str">
        <f t="shared" ref="D4839:D4841" si="738">HYPERLINK("https://12go.asia/en/travel/Johannesburg-Transfer/OR-Tambo-International-Airport", "12Go Link")</f>
        <v>12Go Link</v>
      </c>
      <c r="E4839" s="2" t="s">
        <v>191</v>
      </c>
    </row>
    <row r="4840">
      <c r="A4840" s="2" t="s">
        <v>4310</v>
      </c>
      <c r="B4840" s="2" t="s">
        <v>4310</v>
      </c>
      <c r="C4840" s="2" t="s">
        <v>4712</v>
      </c>
      <c r="D4840" s="3" t="str">
        <f t="shared" si="738"/>
        <v>12Go Link</v>
      </c>
      <c r="E4840" s="2" t="s">
        <v>192</v>
      </c>
    </row>
    <row r="4841">
      <c r="A4841" s="2" t="s">
        <v>4310</v>
      </c>
      <c r="B4841" s="2" t="s">
        <v>4310</v>
      </c>
      <c r="C4841" s="2" t="s">
        <v>4712</v>
      </c>
      <c r="D4841" s="3" t="str">
        <f t="shared" si="738"/>
        <v>12Go Link</v>
      </c>
      <c r="E4841" s="2" t="s">
        <v>193</v>
      </c>
    </row>
    <row r="4842">
      <c r="A4842" s="2" t="s">
        <v>4310</v>
      </c>
      <c r="B4842" s="2" t="s">
        <v>4310</v>
      </c>
      <c r="C4842" s="2" t="s">
        <v>4713</v>
      </c>
      <c r="D4842" s="3" t="str">
        <f t="shared" ref="D4842:D4844" si="739">HYPERLINK("https://12go.asia/en/travel/Kempton-Park-Transfer/OR-Tambo-International-Airport", "12Go Link")</f>
        <v>12Go Link</v>
      </c>
      <c r="E4842" s="2" t="s">
        <v>191</v>
      </c>
    </row>
    <row r="4843">
      <c r="A4843" s="2" t="s">
        <v>4310</v>
      </c>
      <c r="B4843" s="2" t="s">
        <v>4310</v>
      </c>
      <c r="C4843" s="2" t="s">
        <v>4713</v>
      </c>
      <c r="D4843" s="3" t="str">
        <f t="shared" si="739"/>
        <v>12Go Link</v>
      </c>
      <c r="E4843" s="2" t="s">
        <v>192</v>
      </c>
    </row>
    <row r="4844">
      <c r="A4844" s="2" t="s">
        <v>4310</v>
      </c>
      <c r="B4844" s="2" t="s">
        <v>4310</v>
      </c>
      <c r="C4844" s="2" t="s">
        <v>4713</v>
      </c>
      <c r="D4844" s="3" t="str">
        <f t="shared" si="739"/>
        <v>12Go Link</v>
      </c>
      <c r="E4844" s="2" t="s">
        <v>193</v>
      </c>
    </row>
    <row r="4845">
      <c r="A4845" s="2" t="s">
        <v>4310</v>
      </c>
      <c r="B4845" s="2" t="s">
        <v>4310</v>
      </c>
      <c r="C4845" s="2" t="s">
        <v>4714</v>
      </c>
      <c r="D4845" s="3" t="str">
        <f t="shared" ref="D4845:D4847" si="740">HYPERLINK("https://12go.asia/en/travel/Kensington-Transfer/OR-Tambo-International-Airport", "12Go Link")</f>
        <v>12Go Link</v>
      </c>
      <c r="E4845" s="2" t="s">
        <v>191</v>
      </c>
    </row>
    <row r="4846">
      <c r="A4846" s="2" t="s">
        <v>4310</v>
      </c>
      <c r="B4846" s="2" t="s">
        <v>4310</v>
      </c>
      <c r="C4846" s="2" t="s">
        <v>4714</v>
      </c>
      <c r="D4846" s="3" t="str">
        <f t="shared" si="740"/>
        <v>12Go Link</v>
      </c>
      <c r="E4846" s="2" t="s">
        <v>192</v>
      </c>
    </row>
    <row r="4847">
      <c r="A4847" s="2" t="s">
        <v>4310</v>
      </c>
      <c r="B4847" s="2" t="s">
        <v>4310</v>
      </c>
      <c r="C4847" s="2" t="s">
        <v>4714</v>
      </c>
      <c r="D4847" s="3" t="str">
        <f t="shared" si="740"/>
        <v>12Go Link</v>
      </c>
      <c r="E4847" s="2" t="s">
        <v>193</v>
      </c>
    </row>
    <row r="4848">
      <c r="A4848" s="2" t="s">
        <v>4310</v>
      </c>
      <c r="B4848" s="2" t="s">
        <v>4310</v>
      </c>
      <c r="C4848" s="2" t="s">
        <v>4715</v>
      </c>
      <c r="D4848" s="3" t="str">
        <f t="shared" ref="D4848:D4850" si="741">HYPERLINK("https://12go.asia/en/travel/Meredale-Transfer/OR-Tambo-International-Airport", "12Go Link")</f>
        <v>12Go Link</v>
      </c>
      <c r="E4848" s="2" t="s">
        <v>191</v>
      </c>
    </row>
    <row r="4849">
      <c r="A4849" s="2" t="s">
        <v>4310</v>
      </c>
      <c r="B4849" s="2" t="s">
        <v>4310</v>
      </c>
      <c r="C4849" s="2" t="s">
        <v>4715</v>
      </c>
      <c r="D4849" s="3" t="str">
        <f t="shared" si="741"/>
        <v>12Go Link</v>
      </c>
      <c r="E4849" s="2" t="s">
        <v>192</v>
      </c>
    </row>
    <row r="4850">
      <c r="A4850" s="2" t="s">
        <v>4310</v>
      </c>
      <c r="B4850" s="2" t="s">
        <v>4310</v>
      </c>
      <c r="C4850" s="2" t="s">
        <v>4715</v>
      </c>
      <c r="D4850" s="3" t="str">
        <f t="shared" si="741"/>
        <v>12Go Link</v>
      </c>
      <c r="E4850" s="2" t="s">
        <v>193</v>
      </c>
    </row>
    <row r="4851">
      <c r="A4851" s="2" t="s">
        <v>4310</v>
      </c>
      <c r="B4851" s="2" t="s">
        <v>4310</v>
      </c>
      <c r="C4851" s="2" t="s">
        <v>4716</v>
      </c>
      <c r="D4851" s="3" t="str">
        <f t="shared" ref="D4851:D4853" si="742">HYPERLINK("https://12go.asia/en/travel/Mulbarton-Transfer/OR-Tambo-International-Airport", "12Go Link")</f>
        <v>12Go Link</v>
      </c>
      <c r="E4851" s="2" t="s">
        <v>191</v>
      </c>
    </row>
    <row r="4852">
      <c r="A4852" s="2" t="s">
        <v>4310</v>
      </c>
      <c r="B4852" s="2" t="s">
        <v>4310</v>
      </c>
      <c r="C4852" s="2" t="s">
        <v>4716</v>
      </c>
      <c r="D4852" s="3" t="str">
        <f t="shared" si="742"/>
        <v>12Go Link</v>
      </c>
      <c r="E4852" s="2" t="s">
        <v>192</v>
      </c>
    </row>
    <row r="4853">
      <c r="A4853" s="2" t="s">
        <v>4310</v>
      </c>
      <c r="B4853" s="2" t="s">
        <v>4310</v>
      </c>
      <c r="C4853" s="2" t="s">
        <v>4716</v>
      </c>
      <c r="D4853" s="3" t="str">
        <f t="shared" si="742"/>
        <v>12Go Link</v>
      </c>
      <c r="E4853" s="2" t="s">
        <v>193</v>
      </c>
    </row>
    <row r="4854">
      <c r="A4854" s="2" t="s">
        <v>4310</v>
      </c>
      <c r="B4854" s="2" t="s">
        <v>4310</v>
      </c>
      <c r="C4854" s="2" t="s">
        <v>4717</v>
      </c>
      <c r="D4854" s="3" t="str">
        <f t="shared" ref="D4854:D4856" si="743">HYPERLINK("https://12go.asia/en/travel/Northcliff-Transfer/OR-Tambo-International-Airport", "12Go Link")</f>
        <v>12Go Link</v>
      </c>
      <c r="E4854" s="2" t="s">
        <v>191</v>
      </c>
    </row>
    <row r="4855">
      <c r="A4855" s="2" t="s">
        <v>4310</v>
      </c>
      <c r="B4855" s="2" t="s">
        <v>4310</v>
      </c>
      <c r="C4855" s="2" t="s">
        <v>4717</v>
      </c>
      <c r="D4855" s="3" t="str">
        <f t="shared" si="743"/>
        <v>12Go Link</v>
      </c>
      <c r="E4855" s="2" t="s">
        <v>192</v>
      </c>
    </row>
    <row r="4856">
      <c r="A4856" s="2" t="s">
        <v>4310</v>
      </c>
      <c r="B4856" s="2" t="s">
        <v>4310</v>
      </c>
      <c r="C4856" s="2" t="s">
        <v>4717</v>
      </c>
      <c r="D4856" s="3" t="str">
        <f t="shared" si="743"/>
        <v>12Go Link</v>
      </c>
      <c r="E4856" s="2" t="s">
        <v>193</v>
      </c>
    </row>
    <row r="4857">
      <c r="A4857" s="2" t="s">
        <v>4310</v>
      </c>
      <c r="B4857" s="2" t="s">
        <v>4310</v>
      </c>
      <c r="C4857" s="2" t="s">
        <v>4718</v>
      </c>
      <c r="D4857" s="3" t="str">
        <f t="shared" ref="D4857:D4859" si="744">HYPERLINK("https://12go.asia/en/travel/Oakdene-Transfer/OR-Tambo-International-Airport", "12Go Link")</f>
        <v>12Go Link</v>
      </c>
      <c r="E4857" s="2" t="s">
        <v>191</v>
      </c>
    </row>
    <row r="4858">
      <c r="A4858" s="2" t="s">
        <v>4310</v>
      </c>
      <c r="B4858" s="2" t="s">
        <v>4310</v>
      </c>
      <c r="C4858" s="2" t="s">
        <v>4718</v>
      </c>
      <c r="D4858" s="3" t="str">
        <f t="shared" si="744"/>
        <v>12Go Link</v>
      </c>
      <c r="E4858" s="2" t="s">
        <v>192</v>
      </c>
    </row>
    <row r="4859">
      <c r="A4859" s="2" t="s">
        <v>4310</v>
      </c>
      <c r="B4859" s="2" t="s">
        <v>4310</v>
      </c>
      <c r="C4859" s="2" t="s">
        <v>4718</v>
      </c>
      <c r="D4859" s="3" t="str">
        <f t="shared" si="744"/>
        <v>12Go Link</v>
      </c>
      <c r="E4859" s="2" t="s">
        <v>193</v>
      </c>
    </row>
    <row r="4860">
      <c r="A4860" s="2" t="s">
        <v>4310</v>
      </c>
      <c r="B4860" s="2" t="s">
        <v>4310</v>
      </c>
      <c r="C4860" s="2" t="s">
        <v>4719</v>
      </c>
      <c r="D4860" s="3" t="str">
        <f t="shared" ref="D4860:D4862" si="745">HYPERLINK("https://12go.asia/en/travel/OR-Tambo-International-Airport/Abbotsford-Transfer", "12Go Link")</f>
        <v>12Go Link</v>
      </c>
      <c r="E4860" s="2" t="s">
        <v>191</v>
      </c>
    </row>
    <row r="4861">
      <c r="A4861" s="2" t="s">
        <v>4310</v>
      </c>
      <c r="B4861" s="2" t="s">
        <v>4310</v>
      </c>
      <c r="C4861" s="2" t="s">
        <v>4719</v>
      </c>
      <c r="D4861" s="3" t="str">
        <f t="shared" si="745"/>
        <v>12Go Link</v>
      </c>
      <c r="E4861" s="2" t="s">
        <v>192</v>
      </c>
    </row>
    <row r="4862">
      <c r="A4862" s="2" t="s">
        <v>4310</v>
      </c>
      <c r="B4862" s="2" t="s">
        <v>4310</v>
      </c>
      <c r="C4862" s="2" t="s">
        <v>4719</v>
      </c>
      <c r="D4862" s="3" t="str">
        <f t="shared" si="745"/>
        <v>12Go Link</v>
      </c>
      <c r="E4862" s="2" t="s">
        <v>193</v>
      </c>
    </row>
    <row r="4863">
      <c r="A4863" s="2" t="s">
        <v>4310</v>
      </c>
      <c r="B4863" s="2" t="s">
        <v>4310</v>
      </c>
      <c r="C4863" s="2" t="s">
        <v>4720</v>
      </c>
      <c r="D4863" s="3" t="str">
        <f t="shared" ref="D4863:D4865" si="746">HYPERLINK("https://12go.asia/en/travel/OR-Tambo-International-Airport/Albertville-Transfer", "12Go Link")</f>
        <v>12Go Link</v>
      </c>
      <c r="E4863" s="2" t="s">
        <v>191</v>
      </c>
    </row>
    <row r="4864">
      <c r="A4864" s="2" t="s">
        <v>4310</v>
      </c>
      <c r="B4864" s="2" t="s">
        <v>4310</v>
      </c>
      <c r="C4864" s="2" t="s">
        <v>4720</v>
      </c>
      <c r="D4864" s="3" t="str">
        <f t="shared" si="746"/>
        <v>12Go Link</v>
      </c>
      <c r="E4864" s="2" t="s">
        <v>192</v>
      </c>
    </row>
    <row r="4865">
      <c r="A4865" s="2" t="s">
        <v>4310</v>
      </c>
      <c r="B4865" s="2" t="s">
        <v>4310</v>
      </c>
      <c r="C4865" s="2" t="s">
        <v>4720</v>
      </c>
      <c r="D4865" s="3" t="str">
        <f t="shared" si="746"/>
        <v>12Go Link</v>
      </c>
      <c r="E4865" s="2" t="s">
        <v>193</v>
      </c>
    </row>
    <row r="4866">
      <c r="A4866" s="2" t="s">
        <v>4310</v>
      </c>
      <c r="B4866" s="2" t="s">
        <v>4310</v>
      </c>
      <c r="C4866" s="2" t="s">
        <v>4721</v>
      </c>
      <c r="D4866" s="3" t="str">
        <f t="shared" ref="D4866:D4868" si="747">HYPERLINK("https://12go.asia/en/travel/OR-Tambo-International-Airport/Atholl-Transfer", "12Go Link")</f>
        <v>12Go Link</v>
      </c>
      <c r="E4866" s="2" t="s">
        <v>191</v>
      </c>
    </row>
    <row r="4867">
      <c r="A4867" s="2" t="s">
        <v>4310</v>
      </c>
      <c r="B4867" s="2" t="s">
        <v>4310</v>
      </c>
      <c r="C4867" s="2" t="s">
        <v>4721</v>
      </c>
      <c r="D4867" s="3" t="str">
        <f t="shared" si="747"/>
        <v>12Go Link</v>
      </c>
      <c r="E4867" s="2" t="s">
        <v>192</v>
      </c>
    </row>
    <row r="4868">
      <c r="A4868" s="2" t="s">
        <v>4310</v>
      </c>
      <c r="B4868" s="2" t="s">
        <v>4310</v>
      </c>
      <c r="C4868" s="2" t="s">
        <v>4721</v>
      </c>
      <c r="D4868" s="3" t="str">
        <f t="shared" si="747"/>
        <v>12Go Link</v>
      </c>
      <c r="E4868" s="2" t="s">
        <v>193</v>
      </c>
    </row>
    <row r="4869">
      <c r="A4869" s="2" t="s">
        <v>4310</v>
      </c>
      <c r="B4869" s="2" t="s">
        <v>4310</v>
      </c>
      <c r="C4869" s="2" t="s">
        <v>4722</v>
      </c>
      <c r="D4869" s="3" t="str">
        <f t="shared" ref="D4869:D4871" si="748">HYPERLINK("https://12go.asia/en/travel/OR-Tambo-International-Airport/Auckland-Park-Transfer", "12Go Link")</f>
        <v>12Go Link</v>
      </c>
      <c r="E4869" s="2" t="s">
        <v>191</v>
      </c>
    </row>
    <row r="4870">
      <c r="A4870" s="2" t="s">
        <v>4310</v>
      </c>
      <c r="B4870" s="2" t="s">
        <v>4310</v>
      </c>
      <c r="C4870" s="2" t="s">
        <v>4722</v>
      </c>
      <c r="D4870" s="3" t="str">
        <f t="shared" si="748"/>
        <v>12Go Link</v>
      </c>
      <c r="E4870" s="2" t="s">
        <v>192</v>
      </c>
    </row>
    <row r="4871">
      <c r="A4871" s="2" t="s">
        <v>4310</v>
      </c>
      <c r="B4871" s="2" t="s">
        <v>4310</v>
      </c>
      <c r="C4871" s="2" t="s">
        <v>4722</v>
      </c>
      <c r="D4871" s="3" t="str">
        <f t="shared" si="748"/>
        <v>12Go Link</v>
      </c>
      <c r="E4871" s="2" t="s">
        <v>193</v>
      </c>
    </row>
    <row r="4872">
      <c r="A4872" s="2" t="s">
        <v>4310</v>
      </c>
      <c r="B4872" s="2" t="s">
        <v>4310</v>
      </c>
      <c r="C4872" s="2" t="s">
        <v>4723</v>
      </c>
      <c r="D4872" s="3" t="str">
        <f t="shared" ref="D4872:D4874" si="749">HYPERLINK("https://12go.asia/en/travel/OR-Tambo-International-Airport/Bedford-View-Transfer", "12Go Link")</f>
        <v>12Go Link</v>
      </c>
      <c r="E4872" s="2" t="s">
        <v>191</v>
      </c>
    </row>
    <row r="4873">
      <c r="A4873" s="2" t="s">
        <v>4310</v>
      </c>
      <c r="B4873" s="2" t="s">
        <v>4310</v>
      </c>
      <c r="C4873" s="2" t="s">
        <v>4723</v>
      </c>
      <c r="D4873" s="3" t="str">
        <f t="shared" si="749"/>
        <v>12Go Link</v>
      </c>
      <c r="E4873" s="2" t="s">
        <v>192</v>
      </c>
    </row>
    <row r="4874">
      <c r="A4874" s="2" t="s">
        <v>4310</v>
      </c>
      <c r="B4874" s="2" t="s">
        <v>4310</v>
      </c>
      <c r="C4874" s="2" t="s">
        <v>4723</v>
      </c>
      <c r="D4874" s="3" t="str">
        <f t="shared" si="749"/>
        <v>12Go Link</v>
      </c>
      <c r="E4874" s="2" t="s">
        <v>193</v>
      </c>
    </row>
    <row r="4875">
      <c r="A4875" s="2" t="s">
        <v>4310</v>
      </c>
      <c r="B4875" s="2" t="s">
        <v>4310</v>
      </c>
      <c r="C4875" s="2" t="s">
        <v>4724</v>
      </c>
      <c r="D4875" s="3" t="str">
        <f t="shared" ref="D4875:D4877" si="750">HYPERLINK("https://12go.asia/en/travel/OR-Tambo-International-Airport/Bellevue-Transfer", "12Go Link")</f>
        <v>12Go Link</v>
      </c>
      <c r="E4875" s="2" t="s">
        <v>191</v>
      </c>
    </row>
    <row r="4876">
      <c r="A4876" s="2" t="s">
        <v>4310</v>
      </c>
      <c r="B4876" s="2" t="s">
        <v>4310</v>
      </c>
      <c r="C4876" s="2" t="s">
        <v>4724</v>
      </c>
      <c r="D4876" s="3" t="str">
        <f t="shared" si="750"/>
        <v>12Go Link</v>
      </c>
      <c r="E4876" s="2" t="s">
        <v>192</v>
      </c>
    </row>
    <row r="4877">
      <c r="A4877" s="2" t="s">
        <v>4310</v>
      </c>
      <c r="B4877" s="2" t="s">
        <v>4310</v>
      </c>
      <c r="C4877" s="2" t="s">
        <v>4724</v>
      </c>
      <c r="D4877" s="3" t="str">
        <f t="shared" si="750"/>
        <v>12Go Link</v>
      </c>
      <c r="E4877" s="2" t="s">
        <v>193</v>
      </c>
    </row>
    <row r="4878">
      <c r="A4878" s="2" t="s">
        <v>4310</v>
      </c>
      <c r="B4878" s="2" t="s">
        <v>4310</v>
      </c>
      <c r="C4878" s="2" t="s">
        <v>4725</v>
      </c>
      <c r="D4878" s="3" t="str">
        <f t="shared" ref="D4878:D4880" si="751">HYPERLINK("https://12go.asia/en/travel/OR-Tambo-International-Airport/Bezuidenhout-Valley-Transfer", "12Go Link")</f>
        <v>12Go Link</v>
      </c>
      <c r="E4878" s="2" t="s">
        <v>191</v>
      </c>
    </row>
    <row r="4879">
      <c r="A4879" s="2" t="s">
        <v>4310</v>
      </c>
      <c r="B4879" s="2" t="s">
        <v>4310</v>
      </c>
      <c r="C4879" s="2" t="s">
        <v>4725</v>
      </c>
      <c r="D4879" s="3" t="str">
        <f t="shared" si="751"/>
        <v>12Go Link</v>
      </c>
      <c r="E4879" s="2" t="s">
        <v>192</v>
      </c>
    </row>
    <row r="4880">
      <c r="A4880" s="2" t="s">
        <v>4310</v>
      </c>
      <c r="B4880" s="2" t="s">
        <v>4310</v>
      </c>
      <c r="C4880" s="2" t="s">
        <v>4725</v>
      </c>
      <c r="D4880" s="3" t="str">
        <f t="shared" si="751"/>
        <v>12Go Link</v>
      </c>
      <c r="E4880" s="2" t="s">
        <v>193</v>
      </c>
    </row>
    <row r="4881">
      <c r="A4881" s="2" t="s">
        <v>4310</v>
      </c>
      <c r="B4881" s="2" t="s">
        <v>4310</v>
      </c>
      <c r="C4881" s="2" t="s">
        <v>4726</v>
      </c>
      <c r="D4881" s="3" t="str">
        <f t="shared" ref="D4881:D4883" si="752">HYPERLINK("https://12go.asia/en/travel/OR-Tambo-International-Airport/Cyrildene-Transfer", "12Go Link")</f>
        <v>12Go Link</v>
      </c>
      <c r="E4881" s="2" t="s">
        <v>191</v>
      </c>
    </row>
    <row r="4882">
      <c r="A4882" s="2" t="s">
        <v>4310</v>
      </c>
      <c r="B4882" s="2" t="s">
        <v>4310</v>
      </c>
      <c r="C4882" s="2" t="s">
        <v>4726</v>
      </c>
      <c r="D4882" s="3" t="str">
        <f t="shared" si="752"/>
        <v>12Go Link</v>
      </c>
      <c r="E4882" s="2" t="s">
        <v>192</v>
      </c>
    </row>
    <row r="4883">
      <c r="A4883" s="2" t="s">
        <v>4310</v>
      </c>
      <c r="B4883" s="2" t="s">
        <v>4310</v>
      </c>
      <c r="C4883" s="2" t="s">
        <v>4726</v>
      </c>
      <c r="D4883" s="3" t="str">
        <f t="shared" si="752"/>
        <v>12Go Link</v>
      </c>
      <c r="E4883" s="2" t="s">
        <v>193</v>
      </c>
    </row>
    <row r="4884">
      <c r="A4884" s="2" t="s">
        <v>4310</v>
      </c>
      <c r="B4884" s="2" t="s">
        <v>4310</v>
      </c>
      <c r="C4884" s="2" t="s">
        <v>4727</v>
      </c>
      <c r="D4884" s="3" t="str">
        <f t="shared" ref="D4884:D4886" si="753">HYPERLINK("https://12go.asia/en/travel/OR-Tambo-International-Airport/Fourways-Transfer", "12Go Link")</f>
        <v>12Go Link</v>
      </c>
      <c r="E4884" s="2" t="s">
        <v>191</v>
      </c>
    </row>
    <row r="4885">
      <c r="A4885" s="2" t="s">
        <v>4310</v>
      </c>
      <c r="B4885" s="2" t="s">
        <v>4310</v>
      </c>
      <c r="C4885" s="2" t="s">
        <v>4727</v>
      </c>
      <c r="D4885" s="3" t="str">
        <f t="shared" si="753"/>
        <v>12Go Link</v>
      </c>
      <c r="E4885" s="2" t="s">
        <v>192</v>
      </c>
    </row>
    <row r="4886">
      <c r="A4886" s="2" t="s">
        <v>4310</v>
      </c>
      <c r="B4886" s="2" t="s">
        <v>4310</v>
      </c>
      <c r="C4886" s="2" t="s">
        <v>4727</v>
      </c>
      <c r="D4886" s="3" t="str">
        <f t="shared" si="753"/>
        <v>12Go Link</v>
      </c>
      <c r="E4886" s="2" t="s">
        <v>193</v>
      </c>
    </row>
    <row r="4887">
      <c r="A4887" s="2" t="s">
        <v>4310</v>
      </c>
      <c r="B4887" s="2" t="s">
        <v>4310</v>
      </c>
      <c r="C4887" s="2" t="s">
        <v>4728</v>
      </c>
      <c r="D4887" s="3" t="str">
        <f t="shared" ref="D4887:D4889" si="754">HYPERLINK("https://12go.asia/en/travel/OR-Tambo-International-Airport/Johannesburg-Transfer", "12Go Link")</f>
        <v>12Go Link</v>
      </c>
      <c r="E4887" s="2" t="s">
        <v>191</v>
      </c>
    </row>
    <row r="4888">
      <c r="A4888" s="2" t="s">
        <v>4310</v>
      </c>
      <c r="B4888" s="2" t="s">
        <v>4310</v>
      </c>
      <c r="C4888" s="2" t="s">
        <v>4728</v>
      </c>
      <c r="D4888" s="3" t="str">
        <f t="shared" si="754"/>
        <v>12Go Link</v>
      </c>
      <c r="E4888" s="2" t="s">
        <v>192</v>
      </c>
    </row>
    <row r="4889">
      <c r="A4889" s="2" t="s">
        <v>4310</v>
      </c>
      <c r="B4889" s="2" t="s">
        <v>4310</v>
      </c>
      <c r="C4889" s="2" t="s">
        <v>4728</v>
      </c>
      <c r="D4889" s="3" t="str">
        <f t="shared" si="754"/>
        <v>12Go Link</v>
      </c>
      <c r="E4889" s="2" t="s">
        <v>193</v>
      </c>
    </row>
    <row r="4890">
      <c r="A4890" s="2" t="s">
        <v>4310</v>
      </c>
      <c r="B4890" s="2" t="s">
        <v>4310</v>
      </c>
      <c r="C4890" s="2" t="s">
        <v>4729</v>
      </c>
      <c r="D4890" s="3" t="str">
        <f t="shared" ref="D4890:D4892" si="755">HYPERLINK("https://12go.asia/en/travel/OR-Tambo-International-Airport/Kempton-Park-Transfer", "12Go Link")</f>
        <v>12Go Link</v>
      </c>
      <c r="E4890" s="2" t="s">
        <v>191</v>
      </c>
    </row>
    <row r="4891">
      <c r="A4891" s="2" t="s">
        <v>4310</v>
      </c>
      <c r="B4891" s="2" t="s">
        <v>4310</v>
      </c>
      <c r="C4891" s="2" t="s">
        <v>4729</v>
      </c>
      <c r="D4891" s="3" t="str">
        <f t="shared" si="755"/>
        <v>12Go Link</v>
      </c>
      <c r="E4891" s="2" t="s">
        <v>192</v>
      </c>
    </row>
    <row r="4892">
      <c r="A4892" s="2" t="s">
        <v>4310</v>
      </c>
      <c r="B4892" s="2" t="s">
        <v>4310</v>
      </c>
      <c r="C4892" s="2" t="s">
        <v>4729</v>
      </c>
      <c r="D4892" s="3" t="str">
        <f t="shared" si="755"/>
        <v>12Go Link</v>
      </c>
      <c r="E4892" s="2" t="s">
        <v>193</v>
      </c>
    </row>
    <row r="4893">
      <c r="A4893" s="2" t="s">
        <v>4310</v>
      </c>
      <c r="B4893" s="2" t="s">
        <v>4310</v>
      </c>
      <c r="C4893" s="2" t="s">
        <v>4730</v>
      </c>
      <c r="D4893" s="3" t="str">
        <f t="shared" ref="D4893:D4895" si="756">HYPERLINK("https://12go.asia/en/travel/OR-Tambo-International-Airport/Kensington-Transfer", "12Go Link")</f>
        <v>12Go Link</v>
      </c>
      <c r="E4893" s="2" t="s">
        <v>191</v>
      </c>
    </row>
    <row r="4894">
      <c r="A4894" s="2" t="s">
        <v>4310</v>
      </c>
      <c r="B4894" s="2" t="s">
        <v>4310</v>
      </c>
      <c r="C4894" s="2" t="s">
        <v>4730</v>
      </c>
      <c r="D4894" s="3" t="str">
        <f t="shared" si="756"/>
        <v>12Go Link</v>
      </c>
      <c r="E4894" s="2" t="s">
        <v>192</v>
      </c>
    </row>
    <row r="4895">
      <c r="A4895" s="2" t="s">
        <v>4310</v>
      </c>
      <c r="B4895" s="2" t="s">
        <v>4310</v>
      </c>
      <c r="C4895" s="2" t="s">
        <v>4730</v>
      </c>
      <c r="D4895" s="3" t="str">
        <f t="shared" si="756"/>
        <v>12Go Link</v>
      </c>
      <c r="E4895" s="2" t="s">
        <v>193</v>
      </c>
    </row>
    <row r="4896">
      <c r="A4896" s="2" t="s">
        <v>4310</v>
      </c>
      <c r="B4896" s="2" t="s">
        <v>4310</v>
      </c>
      <c r="C4896" s="2" t="s">
        <v>4731</v>
      </c>
      <c r="D4896" s="3" t="str">
        <f t="shared" ref="D4896:D4898" si="757">HYPERLINK("https://12go.asia/en/travel/OR-Tambo-International-Airport/Meredale-Transfer", "12Go Link")</f>
        <v>12Go Link</v>
      </c>
      <c r="E4896" s="2" t="s">
        <v>191</v>
      </c>
    </row>
    <row r="4897">
      <c r="A4897" s="2" t="s">
        <v>4310</v>
      </c>
      <c r="B4897" s="2" t="s">
        <v>4310</v>
      </c>
      <c r="C4897" s="2" t="s">
        <v>4731</v>
      </c>
      <c r="D4897" s="3" t="str">
        <f t="shared" si="757"/>
        <v>12Go Link</v>
      </c>
      <c r="E4897" s="2" t="s">
        <v>192</v>
      </c>
    </row>
    <row r="4898">
      <c r="A4898" s="2" t="s">
        <v>4310</v>
      </c>
      <c r="B4898" s="2" t="s">
        <v>4310</v>
      </c>
      <c r="C4898" s="2" t="s">
        <v>4731</v>
      </c>
      <c r="D4898" s="3" t="str">
        <f t="shared" si="757"/>
        <v>12Go Link</v>
      </c>
      <c r="E4898" s="2" t="s">
        <v>193</v>
      </c>
    </row>
    <row r="4899">
      <c r="A4899" s="2" t="s">
        <v>4310</v>
      </c>
      <c r="B4899" s="2" t="s">
        <v>4310</v>
      </c>
      <c r="C4899" s="2" t="s">
        <v>4732</v>
      </c>
      <c r="D4899" s="3" t="str">
        <f t="shared" ref="D4899:D4901" si="758">HYPERLINK("https://12go.asia/en/travel/OR-Tambo-International-Airport/Mulbarton-Transfer", "12Go Link")</f>
        <v>12Go Link</v>
      </c>
      <c r="E4899" s="2" t="s">
        <v>191</v>
      </c>
    </row>
    <row r="4900">
      <c r="A4900" s="2" t="s">
        <v>4310</v>
      </c>
      <c r="B4900" s="2" t="s">
        <v>4310</v>
      </c>
      <c r="C4900" s="2" t="s">
        <v>4732</v>
      </c>
      <c r="D4900" s="3" t="str">
        <f t="shared" si="758"/>
        <v>12Go Link</v>
      </c>
      <c r="E4900" s="2" t="s">
        <v>192</v>
      </c>
    </row>
    <row r="4901">
      <c r="A4901" s="2" t="s">
        <v>4310</v>
      </c>
      <c r="B4901" s="2" t="s">
        <v>4310</v>
      </c>
      <c r="C4901" s="2" t="s">
        <v>4732</v>
      </c>
      <c r="D4901" s="3" t="str">
        <f t="shared" si="758"/>
        <v>12Go Link</v>
      </c>
      <c r="E4901" s="2" t="s">
        <v>193</v>
      </c>
    </row>
    <row r="4902">
      <c r="A4902" s="2" t="s">
        <v>4310</v>
      </c>
      <c r="B4902" s="2" t="s">
        <v>4310</v>
      </c>
      <c r="C4902" s="2" t="s">
        <v>4733</v>
      </c>
      <c r="D4902" s="3" t="str">
        <f t="shared" ref="D4902:D4904" si="759">HYPERLINK("https://12go.asia/en/travel/OR-Tambo-International-Airport/Northcliff-Transfer", "12Go Link")</f>
        <v>12Go Link</v>
      </c>
      <c r="E4902" s="2" t="s">
        <v>191</v>
      </c>
    </row>
    <row r="4903">
      <c r="A4903" s="2" t="s">
        <v>4310</v>
      </c>
      <c r="B4903" s="2" t="s">
        <v>4310</v>
      </c>
      <c r="C4903" s="2" t="s">
        <v>4733</v>
      </c>
      <c r="D4903" s="3" t="str">
        <f t="shared" si="759"/>
        <v>12Go Link</v>
      </c>
      <c r="E4903" s="2" t="s">
        <v>192</v>
      </c>
    </row>
    <row r="4904">
      <c r="A4904" s="2" t="s">
        <v>4310</v>
      </c>
      <c r="B4904" s="2" t="s">
        <v>4310</v>
      </c>
      <c r="C4904" s="2" t="s">
        <v>4733</v>
      </c>
      <c r="D4904" s="3" t="str">
        <f t="shared" si="759"/>
        <v>12Go Link</v>
      </c>
      <c r="E4904" s="2" t="s">
        <v>193</v>
      </c>
    </row>
    <row r="4905">
      <c r="A4905" s="2" t="s">
        <v>4310</v>
      </c>
      <c r="B4905" s="2" t="s">
        <v>4310</v>
      </c>
      <c r="C4905" s="2" t="s">
        <v>4734</v>
      </c>
      <c r="D4905" s="3" t="str">
        <f t="shared" ref="D4905:D4907" si="760">HYPERLINK("https://12go.asia/en/travel/OR-Tambo-International-Airport/Oakdene-Transfer", "12Go Link")</f>
        <v>12Go Link</v>
      </c>
      <c r="E4905" s="2" t="s">
        <v>191</v>
      </c>
    </row>
    <row r="4906">
      <c r="A4906" s="2" t="s">
        <v>4310</v>
      </c>
      <c r="B4906" s="2" t="s">
        <v>4310</v>
      </c>
      <c r="C4906" s="2" t="s">
        <v>4734</v>
      </c>
      <c r="D4906" s="3" t="str">
        <f t="shared" si="760"/>
        <v>12Go Link</v>
      </c>
      <c r="E4906" s="2" t="s">
        <v>192</v>
      </c>
    </row>
    <row r="4907">
      <c r="A4907" s="2" t="s">
        <v>4310</v>
      </c>
      <c r="B4907" s="2" t="s">
        <v>4310</v>
      </c>
      <c r="C4907" s="2" t="s">
        <v>4734</v>
      </c>
      <c r="D4907" s="3" t="str">
        <f t="shared" si="760"/>
        <v>12Go Link</v>
      </c>
      <c r="E4907" s="2" t="s">
        <v>193</v>
      </c>
    </row>
    <row r="4908">
      <c r="A4908" s="2" t="s">
        <v>4310</v>
      </c>
      <c r="B4908" s="2" t="s">
        <v>4310</v>
      </c>
      <c r="C4908" s="2" t="s">
        <v>4735</v>
      </c>
      <c r="D4908" s="3" t="str">
        <f t="shared" ref="D4908:D4910" si="761">HYPERLINK("https://12go.asia/en/travel/OR-Tambo-International-Airport/Ormonde-Transfer", "12Go Link")</f>
        <v>12Go Link</v>
      </c>
      <c r="E4908" s="2" t="s">
        <v>191</v>
      </c>
    </row>
    <row r="4909">
      <c r="A4909" s="2" t="s">
        <v>4310</v>
      </c>
      <c r="B4909" s="2" t="s">
        <v>4310</v>
      </c>
      <c r="C4909" s="2" t="s">
        <v>4735</v>
      </c>
      <c r="D4909" s="3" t="str">
        <f t="shared" si="761"/>
        <v>12Go Link</v>
      </c>
      <c r="E4909" s="2" t="s">
        <v>192</v>
      </c>
    </row>
    <row r="4910">
      <c r="A4910" s="2" t="s">
        <v>4310</v>
      </c>
      <c r="B4910" s="2" t="s">
        <v>4310</v>
      </c>
      <c r="C4910" s="2" t="s">
        <v>4735</v>
      </c>
      <c r="D4910" s="3" t="str">
        <f t="shared" si="761"/>
        <v>12Go Link</v>
      </c>
      <c r="E4910" s="2" t="s">
        <v>193</v>
      </c>
    </row>
    <row r="4911">
      <c r="A4911" s="2" t="s">
        <v>4310</v>
      </c>
      <c r="B4911" s="2" t="s">
        <v>4310</v>
      </c>
      <c r="C4911" s="2" t="s">
        <v>4736</v>
      </c>
      <c r="D4911" s="3" t="str">
        <f t="shared" ref="D4911:D4913" si="762">HYPERLINK("https://12go.asia/en/travel/OR-Tambo-International-Airport/Parkhurst-Transfer", "12Go Link")</f>
        <v>12Go Link</v>
      </c>
      <c r="E4911" s="2" t="s">
        <v>191</v>
      </c>
    </row>
    <row r="4912">
      <c r="A4912" s="2" t="s">
        <v>4310</v>
      </c>
      <c r="B4912" s="2" t="s">
        <v>4310</v>
      </c>
      <c r="C4912" s="2" t="s">
        <v>4736</v>
      </c>
      <c r="D4912" s="3" t="str">
        <f t="shared" si="762"/>
        <v>12Go Link</v>
      </c>
      <c r="E4912" s="2" t="s">
        <v>192</v>
      </c>
    </row>
    <row r="4913">
      <c r="A4913" s="2" t="s">
        <v>4310</v>
      </c>
      <c r="B4913" s="2" t="s">
        <v>4310</v>
      </c>
      <c r="C4913" s="2" t="s">
        <v>4736</v>
      </c>
      <c r="D4913" s="3" t="str">
        <f t="shared" si="762"/>
        <v>12Go Link</v>
      </c>
      <c r="E4913" s="2" t="s">
        <v>193</v>
      </c>
    </row>
    <row r="4914">
      <c r="A4914" s="2" t="s">
        <v>4310</v>
      </c>
      <c r="B4914" s="2" t="s">
        <v>4310</v>
      </c>
      <c r="C4914" s="2" t="s">
        <v>4737</v>
      </c>
      <c r="D4914" s="3" t="str">
        <f t="shared" ref="D4914:D4916" si="763">HYPERLINK("https://12go.asia/en/travel/OR-Tambo-International-Airport/Parktown-Transfer", "12Go Link")</f>
        <v>12Go Link</v>
      </c>
      <c r="E4914" s="2" t="s">
        <v>191</v>
      </c>
    </row>
    <row r="4915">
      <c r="A4915" s="2" t="s">
        <v>4310</v>
      </c>
      <c r="B4915" s="2" t="s">
        <v>4310</v>
      </c>
      <c r="C4915" s="2" t="s">
        <v>4737</v>
      </c>
      <c r="D4915" s="3" t="str">
        <f t="shared" si="763"/>
        <v>12Go Link</v>
      </c>
      <c r="E4915" s="2" t="s">
        <v>192</v>
      </c>
    </row>
    <row r="4916">
      <c r="A4916" s="2" t="s">
        <v>4310</v>
      </c>
      <c r="B4916" s="2" t="s">
        <v>4310</v>
      </c>
      <c r="C4916" s="2" t="s">
        <v>4737</v>
      </c>
      <c r="D4916" s="3" t="str">
        <f t="shared" si="763"/>
        <v>12Go Link</v>
      </c>
      <c r="E4916" s="2" t="s">
        <v>193</v>
      </c>
    </row>
    <row r="4917">
      <c r="A4917" s="2" t="s">
        <v>4310</v>
      </c>
      <c r="B4917" s="2" t="s">
        <v>4310</v>
      </c>
      <c r="C4917" s="2" t="s">
        <v>4738</v>
      </c>
      <c r="D4917" s="3" t="str">
        <f t="shared" ref="D4917:D4919" si="764">HYPERLINK("https://12go.asia/en/travel/OR-Tambo-International-Airport/Parkview-Transfer", "12Go Link")</f>
        <v>12Go Link</v>
      </c>
      <c r="E4917" s="2" t="s">
        <v>191</v>
      </c>
    </row>
    <row r="4918">
      <c r="A4918" s="2" t="s">
        <v>4310</v>
      </c>
      <c r="B4918" s="2" t="s">
        <v>4310</v>
      </c>
      <c r="C4918" s="2" t="s">
        <v>4738</v>
      </c>
      <c r="D4918" s="3" t="str">
        <f t="shared" si="764"/>
        <v>12Go Link</v>
      </c>
      <c r="E4918" s="2" t="s">
        <v>192</v>
      </c>
    </row>
    <row r="4919">
      <c r="A4919" s="2" t="s">
        <v>4310</v>
      </c>
      <c r="B4919" s="2" t="s">
        <v>4310</v>
      </c>
      <c r="C4919" s="2" t="s">
        <v>4738</v>
      </c>
      <c r="D4919" s="3" t="str">
        <f t="shared" si="764"/>
        <v>12Go Link</v>
      </c>
      <c r="E4919" s="2" t="s">
        <v>193</v>
      </c>
    </row>
    <row r="4920">
      <c r="A4920" s="2" t="s">
        <v>4310</v>
      </c>
      <c r="B4920" s="2" t="s">
        <v>4310</v>
      </c>
      <c r="C4920" s="2" t="s">
        <v>4739</v>
      </c>
      <c r="D4920" s="3" t="str">
        <f t="shared" ref="D4920:D4922" si="765">HYPERLINK("https://12go.asia/en/travel/OR-Tambo-International-Airport/Randburg-Transfer", "12Go Link")</f>
        <v>12Go Link</v>
      </c>
      <c r="E4920" s="2" t="s">
        <v>191</v>
      </c>
    </row>
    <row r="4921">
      <c r="A4921" s="2" t="s">
        <v>4310</v>
      </c>
      <c r="B4921" s="2" t="s">
        <v>4310</v>
      </c>
      <c r="C4921" s="2" t="s">
        <v>4739</v>
      </c>
      <c r="D4921" s="3" t="str">
        <f t="shared" si="765"/>
        <v>12Go Link</v>
      </c>
      <c r="E4921" s="2" t="s">
        <v>192</v>
      </c>
    </row>
    <row r="4922">
      <c r="A4922" s="2" t="s">
        <v>4310</v>
      </c>
      <c r="B4922" s="2" t="s">
        <v>4310</v>
      </c>
      <c r="C4922" s="2" t="s">
        <v>4739</v>
      </c>
      <c r="D4922" s="3" t="str">
        <f t="shared" si="765"/>
        <v>12Go Link</v>
      </c>
      <c r="E4922" s="2" t="s">
        <v>193</v>
      </c>
    </row>
    <row r="4923">
      <c r="A4923" s="2" t="s">
        <v>4310</v>
      </c>
      <c r="B4923" s="2" t="s">
        <v>4310</v>
      </c>
      <c r="C4923" s="2" t="s">
        <v>4740</v>
      </c>
      <c r="D4923" s="3" t="str">
        <f t="shared" ref="D4923:D4925" si="766">HYPERLINK("https://12go.asia/en/travel/OR-Tambo-International-Airport/Rosebank-Transfer", "12Go Link")</f>
        <v>12Go Link</v>
      </c>
      <c r="E4923" s="2" t="s">
        <v>191</v>
      </c>
    </row>
    <row r="4924">
      <c r="A4924" s="2" t="s">
        <v>4310</v>
      </c>
      <c r="B4924" s="2" t="s">
        <v>4310</v>
      </c>
      <c r="C4924" s="2" t="s">
        <v>4740</v>
      </c>
      <c r="D4924" s="3" t="str">
        <f t="shared" si="766"/>
        <v>12Go Link</v>
      </c>
      <c r="E4924" s="2" t="s">
        <v>192</v>
      </c>
    </row>
    <row r="4925">
      <c r="A4925" s="2" t="s">
        <v>4310</v>
      </c>
      <c r="B4925" s="2" t="s">
        <v>4310</v>
      </c>
      <c r="C4925" s="2" t="s">
        <v>4740</v>
      </c>
      <c r="D4925" s="3" t="str">
        <f t="shared" si="766"/>
        <v>12Go Link</v>
      </c>
      <c r="E4925" s="2" t="s">
        <v>193</v>
      </c>
    </row>
    <row r="4926">
      <c r="A4926" s="2" t="s">
        <v>4310</v>
      </c>
      <c r="B4926" s="2" t="s">
        <v>4310</v>
      </c>
      <c r="C4926" s="2" t="s">
        <v>4741</v>
      </c>
      <c r="D4926" s="3" t="str">
        <f t="shared" ref="D4926:D4928" si="767">HYPERLINK("https://12go.asia/en/travel/OR-Tambo-International-Airport/Saxonwold-Transfer", "12Go Link")</f>
        <v>12Go Link</v>
      </c>
      <c r="E4926" s="2" t="s">
        <v>191</v>
      </c>
    </row>
    <row r="4927">
      <c r="A4927" s="2" t="s">
        <v>4310</v>
      </c>
      <c r="B4927" s="2" t="s">
        <v>4310</v>
      </c>
      <c r="C4927" s="2" t="s">
        <v>4741</v>
      </c>
      <c r="D4927" s="3" t="str">
        <f t="shared" si="767"/>
        <v>12Go Link</v>
      </c>
      <c r="E4927" s="2" t="s">
        <v>192</v>
      </c>
    </row>
    <row r="4928">
      <c r="A4928" s="2" t="s">
        <v>4310</v>
      </c>
      <c r="B4928" s="2" t="s">
        <v>4310</v>
      </c>
      <c r="C4928" s="2" t="s">
        <v>4741</v>
      </c>
      <c r="D4928" s="3" t="str">
        <f t="shared" si="767"/>
        <v>12Go Link</v>
      </c>
      <c r="E4928" s="2" t="s">
        <v>193</v>
      </c>
    </row>
    <row r="4929">
      <c r="A4929" s="2" t="s">
        <v>4310</v>
      </c>
      <c r="B4929" s="2" t="s">
        <v>4310</v>
      </c>
      <c r="C4929" s="2" t="s">
        <v>4742</v>
      </c>
      <c r="D4929" s="3" t="str">
        <f t="shared" ref="D4929:D4931" si="768">HYPERLINK("https://12go.asia/en/travel/Ormonde-Transfer/OR-Tambo-International-Airport", "12Go Link")</f>
        <v>12Go Link</v>
      </c>
      <c r="E4929" s="2" t="s">
        <v>191</v>
      </c>
    </row>
    <row r="4930">
      <c r="A4930" s="2" t="s">
        <v>4310</v>
      </c>
      <c r="B4930" s="2" t="s">
        <v>4310</v>
      </c>
      <c r="C4930" s="2" t="s">
        <v>4742</v>
      </c>
      <c r="D4930" s="3" t="str">
        <f t="shared" si="768"/>
        <v>12Go Link</v>
      </c>
      <c r="E4930" s="2" t="s">
        <v>192</v>
      </c>
    </row>
    <row r="4931">
      <c r="A4931" s="2" t="s">
        <v>4310</v>
      </c>
      <c r="B4931" s="2" t="s">
        <v>4310</v>
      </c>
      <c r="C4931" s="2" t="s">
        <v>4742</v>
      </c>
      <c r="D4931" s="3" t="str">
        <f t="shared" si="768"/>
        <v>12Go Link</v>
      </c>
      <c r="E4931" s="2" t="s">
        <v>193</v>
      </c>
    </row>
    <row r="4932">
      <c r="A4932" s="2" t="s">
        <v>4310</v>
      </c>
      <c r="B4932" s="2" t="s">
        <v>4310</v>
      </c>
      <c r="C4932" s="2" t="s">
        <v>4743</v>
      </c>
      <c r="D4932" s="3" t="str">
        <f t="shared" ref="D4932:D4934" si="769">HYPERLINK("https://12go.asia/en/travel/Parkhurst-Transfer/OR-Tambo-International-Airport", "12Go Link")</f>
        <v>12Go Link</v>
      </c>
      <c r="E4932" s="2" t="s">
        <v>191</v>
      </c>
    </row>
    <row r="4933">
      <c r="A4933" s="2" t="s">
        <v>4310</v>
      </c>
      <c r="B4933" s="2" t="s">
        <v>4310</v>
      </c>
      <c r="C4933" s="2" t="s">
        <v>4743</v>
      </c>
      <c r="D4933" s="3" t="str">
        <f t="shared" si="769"/>
        <v>12Go Link</v>
      </c>
      <c r="E4933" s="2" t="s">
        <v>192</v>
      </c>
    </row>
    <row r="4934">
      <c r="A4934" s="2" t="s">
        <v>4310</v>
      </c>
      <c r="B4934" s="2" t="s">
        <v>4310</v>
      </c>
      <c r="C4934" s="2" t="s">
        <v>4743</v>
      </c>
      <c r="D4934" s="3" t="str">
        <f t="shared" si="769"/>
        <v>12Go Link</v>
      </c>
      <c r="E4934" s="2" t="s">
        <v>193</v>
      </c>
    </row>
    <row r="4935">
      <c r="A4935" s="2" t="s">
        <v>4310</v>
      </c>
      <c r="B4935" s="2" t="s">
        <v>4310</v>
      </c>
      <c r="C4935" s="2" t="s">
        <v>4744</v>
      </c>
      <c r="D4935" s="3" t="str">
        <f t="shared" ref="D4935:D4937" si="770">HYPERLINK("https://12go.asia/en/travel/Parktown-Transfer/OR-Tambo-International-Airport", "12Go Link")</f>
        <v>12Go Link</v>
      </c>
      <c r="E4935" s="2" t="s">
        <v>191</v>
      </c>
    </row>
    <row r="4936">
      <c r="A4936" s="2" t="s">
        <v>4310</v>
      </c>
      <c r="B4936" s="2" t="s">
        <v>4310</v>
      </c>
      <c r="C4936" s="2" t="s">
        <v>4744</v>
      </c>
      <c r="D4936" s="3" t="str">
        <f t="shared" si="770"/>
        <v>12Go Link</v>
      </c>
      <c r="E4936" s="2" t="s">
        <v>192</v>
      </c>
    </row>
    <row r="4937">
      <c r="A4937" s="2" t="s">
        <v>4310</v>
      </c>
      <c r="B4937" s="2" t="s">
        <v>4310</v>
      </c>
      <c r="C4937" s="2" t="s">
        <v>4744</v>
      </c>
      <c r="D4937" s="3" t="str">
        <f t="shared" si="770"/>
        <v>12Go Link</v>
      </c>
      <c r="E4937" s="2" t="s">
        <v>193</v>
      </c>
    </row>
    <row r="4938">
      <c r="A4938" s="2" t="s">
        <v>4310</v>
      </c>
      <c r="B4938" s="2" t="s">
        <v>4310</v>
      </c>
      <c r="C4938" s="2" t="s">
        <v>4745</v>
      </c>
      <c r="D4938" s="3" t="str">
        <f t="shared" ref="D4938:D4940" si="771">HYPERLINK("https://12go.asia/en/travel/Parkview-Transfer/OR-Tambo-International-Airport", "12Go Link")</f>
        <v>12Go Link</v>
      </c>
      <c r="E4938" s="2" t="s">
        <v>191</v>
      </c>
    </row>
    <row r="4939">
      <c r="A4939" s="2" t="s">
        <v>4310</v>
      </c>
      <c r="B4939" s="2" t="s">
        <v>4310</v>
      </c>
      <c r="C4939" s="2" t="s">
        <v>4745</v>
      </c>
      <c r="D4939" s="3" t="str">
        <f t="shared" si="771"/>
        <v>12Go Link</v>
      </c>
      <c r="E4939" s="2" t="s">
        <v>192</v>
      </c>
    </row>
    <row r="4940">
      <c r="A4940" s="2" t="s">
        <v>4310</v>
      </c>
      <c r="B4940" s="2" t="s">
        <v>4310</v>
      </c>
      <c r="C4940" s="2" t="s">
        <v>4745</v>
      </c>
      <c r="D4940" s="3" t="str">
        <f t="shared" si="771"/>
        <v>12Go Link</v>
      </c>
      <c r="E4940" s="2" t="s">
        <v>193</v>
      </c>
    </row>
    <row r="4941">
      <c r="A4941" s="2" t="s">
        <v>4310</v>
      </c>
      <c r="B4941" s="2" t="s">
        <v>4310</v>
      </c>
      <c r="C4941" s="2" t="s">
        <v>4746</v>
      </c>
      <c r="D4941" s="3" t="str">
        <f t="shared" ref="D4941:D4943" si="772">HYPERLINK("https://12go.asia/en/travel/Randburg-Transfer/OR-Tambo-International-Airport", "12Go Link")</f>
        <v>12Go Link</v>
      </c>
      <c r="E4941" s="2" t="s">
        <v>191</v>
      </c>
    </row>
    <row r="4942">
      <c r="A4942" s="2" t="s">
        <v>4310</v>
      </c>
      <c r="B4942" s="2" t="s">
        <v>4310</v>
      </c>
      <c r="C4942" s="2" t="s">
        <v>4746</v>
      </c>
      <c r="D4942" s="3" t="str">
        <f t="shared" si="772"/>
        <v>12Go Link</v>
      </c>
      <c r="E4942" s="2" t="s">
        <v>192</v>
      </c>
    </row>
    <row r="4943">
      <c r="A4943" s="2" t="s">
        <v>4310</v>
      </c>
      <c r="B4943" s="2" t="s">
        <v>4310</v>
      </c>
      <c r="C4943" s="2" t="s">
        <v>4746</v>
      </c>
      <c r="D4943" s="3" t="str">
        <f t="shared" si="772"/>
        <v>12Go Link</v>
      </c>
      <c r="E4943" s="2" t="s">
        <v>193</v>
      </c>
    </row>
    <row r="4944">
      <c r="A4944" s="2" t="s">
        <v>4310</v>
      </c>
      <c r="B4944" s="2" t="s">
        <v>4310</v>
      </c>
      <c r="C4944" s="2" t="s">
        <v>4747</v>
      </c>
      <c r="D4944" s="3" t="str">
        <f t="shared" ref="D4944:D4946" si="773">HYPERLINK("https://12go.asia/en/travel/Rosebank-Transfer/OR-Tambo-International-Airport", "12Go Link")</f>
        <v>12Go Link</v>
      </c>
      <c r="E4944" s="2" t="s">
        <v>191</v>
      </c>
    </row>
    <row r="4945">
      <c r="A4945" s="2" t="s">
        <v>4310</v>
      </c>
      <c r="B4945" s="2" t="s">
        <v>4310</v>
      </c>
      <c r="C4945" s="2" t="s">
        <v>4747</v>
      </c>
      <c r="D4945" s="3" t="str">
        <f t="shared" si="773"/>
        <v>12Go Link</v>
      </c>
      <c r="E4945" s="2" t="s">
        <v>192</v>
      </c>
    </row>
    <row r="4946">
      <c r="A4946" s="2" t="s">
        <v>4310</v>
      </c>
      <c r="B4946" s="2" t="s">
        <v>4310</v>
      </c>
      <c r="C4946" s="2" t="s">
        <v>4747</v>
      </c>
      <c r="D4946" s="3" t="str">
        <f t="shared" si="773"/>
        <v>12Go Link</v>
      </c>
      <c r="E4946" s="2" t="s">
        <v>193</v>
      </c>
    </row>
    <row r="4947">
      <c r="A4947" s="2" t="s">
        <v>4310</v>
      </c>
      <c r="B4947" s="2" t="s">
        <v>4310</v>
      </c>
      <c r="C4947" s="2" t="s">
        <v>4748</v>
      </c>
      <c r="D4947" s="3" t="str">
        <f t="shared" ref="D4947:D4949" si="774">HYPERLINK("https://12go.asia/en/travel/Saxonwold-Transfer/OR-Tambo-International-Airport", "12Go Link")</f>
        <v>12Go Link</v>
      </c>
      <c r="E4947" s="2" t="s">
        <v>191</v>
      </c>
    </row>
    <row r="4948">
      <c r="A4948" s="2" t="s">
        <v>4310</v>
      </c>
      <c r="B4948" s="2" t="s">
        <v>4310</v>
      </c>
      <c r="C4948" s="2" t="s">
        <v>4748</v>
      </c>
      <c r="D4948" s="3" t="str">
        <f t="shared" si="774"/>
        <v>12Go Link</v>
      </c>
      <c r="E4948" s="2" t="s">
        <v>192</v>
      </c>
    </row>
    <row r="4949">
      <c r="A4949" s="2" t="s">
        <v>4310</v>
      </c>
      <c r="B4949" s="2" t="s">
        <v>4310</v>
      </c>
      <c r="C4949" s="2" t="s">
        <v>4748</v>
      </c>
      <c r="D4949" s="3" t="str">
        <f t="shared" si="774"/>
        <v>12Go Link</v>
      </c>
      <c r="E4949" s="2" t="s">
        <v>193</v>
      </c>
    </row>
    <row r="4950">
      <c r="A4950" s="2" t="s">
        <v>4310</v>
      </c>
      <c r="B4950" s="2" t="s">
        <v>4749</v>
      </c>
      <c r="C4950" s="2" t="s">
        <v>4750</v>
      </c>
      <c r="D4950" s="3" t="str">
        <f t="shared" ref="D4950:D4952" si="775">HYPERLINK("https://12go.asia/en/travel/OR-Tambo-International-Airport/Kaapsche-Hoop-Transfer", "12Go Link")</f>
        <v>12Go Link</v>
      </c>
      <c r="E4950" s="2" t="s">
        <v>191</v>
      </c>
    </row>
    <row r="4951">
      <c r="A4951" s="2" t="s">
        <v>4310</v>
      </c>
      <c r="B4951" s="2" t="s">
        <v>4749</v>
      </c>
      <c r="C4951" s="2" t="s">
        <v>4750</v>
      </c>
      <c r="D4951" s="3" t="str">
        <f t="shared" si="775"/>
        <v>12Go Link</v>
      </c>
      <c r="E4951" s="2" t="s">
        <v>192</v>
      </c>
    </row>
    <row r="4952">
      <c r="A4952" s="2" t="s">
        <v>4310</v>
      </c>
      <c r="B4952" s="2" t="s">
        <v>4749</v>
      </c>
      <c r="C4952" s="2" t="s">
        <v>4750</v>
      </c>
      <c r="D4952" s="3" t="str">
        <f t="shared" si="775"/>
        <v>12Go Link</v>
      </c>
      <c r="E4952" s="2" t="s">
        <v>193</v>
      </c>
    </row>
    <row r="4953">
      <c r="A4953" s="2" t="s">
        <v>4310</v>
      </c>
      <c r="B4953" s="2" t="s">
        <v>4751</v>
      </c>
      <c r="C4953" s="2" t="s">
        <v>4752</v>
      </c>
      <c r="D4953" s="3" t="str">
        <f t="shared" ref="D4953:D4955" si="776">HYPERLINK("https://12go.asia/en/travel/OR-Tambo-International-Airport/Birch-Acres-Transfer", "12Go Link")</f>
        <v>12Go Link</v>
      </c>
      <c r="E4953" s="2" t="s">
        <v>191</v>
      </c>
    </row>
    <row r="4954">
      <c r="A4954" s="2" t="s">
        <v>4310</v>
      </c>
      <c r="B4954" s="2" t="s">
        <v>4751</v>
      </c>
      <c r="C4954" s="2" t="s">
        <v>4752</v>
      </c>
      <c r="D4954" s="3" t="str">
        <f t="shared" si="776"/>
        <v>12Go Link</v>
      </c>
      <c r="E4954" s="2" t="s">
        <v>192</v>
      </c>
    </row>
    <row r="4955">
      <c r="A4955" s="2" t="s">
        <v>4310</v>
      </c>
      <c r="B4955" s="2" t="s">
        <v>4751</v>
      </c>
      <c r="C4955" s="2" t="s">
        <v>4752</v>
      </c>
      <c r="D4955" s="3" t="str">
        <f t="shared" si="776"/>
        <v>12Go Link</v>
      </c>
      <c r="E4955" s="2" t="s">
        <v>193</v>
      </c>
    </row>
    <row r="4956">
      <c r="A4956" s="2" t="s">
        <v>4310</v>
      </c>
      <c r="B4956" s="2" t="s">
        <v>4751</v>
      </c>
      <c r="C4956" s="2" t="s">
        <v>4753</v>
      </c>
      <c r="D4956" s="3" t="str">
        <f t="shared" ref="D4956:D4958" si="777">HYPERLINK("https://12go.asia/en/travel/OR-Tambo-International-Airport/Birchleigh-Transfer", "12Go Link")</f>
        <v>12Go Link</v>
      </c>
      <c r="E4956" s="2" t="s">
        <v>191</v>
      </c>
    </row>
    <row r="4957">
      <c r="A4957" s="2" t="s">
        <v>4310</v>
      </c>
      <c r="B4957" s="2" t="s">
        <v>4751</v>
      </c>
      <c r="C4957" s="2" t="s">
        <v>4753</v>
      </c>
      <c r="D4957" s="3" t="str">
        <f t="shared" si="777"/>
        <v>12Go Link</v>
      </c>
      <c r="E4957" s="2" t="s">
        <v>192</v>
      </c>
    </row>
    <row r="4958">
      <c r="A4958" s="2" t="s">
        <v>4310</v>
      </c>
      <c r="B4958" s="2" t="s">
        <v>4751</v>
      </c>
      <c r="C4958" s="2" t="s">
        <v>4753</v>
      </c>
      <c r="D4958" s="3" t="str">
        <f t="shared" si="777"/>
        <v>12Go Link</v>
      </c>
      <c r="E4958" s="2" t="s">
        <v>193</v>
      </c>
    </row>
    <row r="4959">
      <c r="A4959" s="2" t="s">
        <v>4310</v>
      </c>
      <c r="B4959" s="2" t="s">
        <v>4754</v>
      </c>
      <c r="C4959" s="2" t="s">
        <v>4755</v>
      </c>
      <c r="D4959" s="3" t="str">
        <f t="shared" ref="D4959:D4961" si="778">HYPERLINK("https://12go.asia/en/travel/OR-Tambo-International-Airport/Kinross-Transfer", "12Go Link")</f>
        <v>12Go Link</v>
      </c>
      <c r="E4959" s="2" t="s">
        <v>191</v>
      </c>
    </row>
    <row r="4960">
      <c r="A4960" s="2" t="s">
        <v>4310</v>
      </c>
      <c r="B4960" s="2" t="s">
        <v>4754</v>
      </c>
      <c r="C4960" s="2" t="s">
        <v>4755</v>
      </c>
      <c r="D4960" s="3" t="str">
        <f t="shared" si="778"/>
        <v>12Go Link</v>
      </c>
      <c r="E4960" s="2" t="s">
        <v>192</v>
      </c>
    </row>
    <row r="4961">
      <c r="A4961" s="2" t="s">
        <v>4310</v>
      </c>
      <c r="B4961" s="2" t="s">
        <v>4754</v>
      </c>
      <c r="C4961" s="2" t="s">
        <v>4755</v>
      </c>
      <c r="D4961" s="3" t="str">
        <f t="shared" si="778"/>
        <v>12Go Link</v>
      </c>
      <c r="E4961" s="2" t="s">
        <v>193</v>
      </c>
    </row>
    <row r="4962">
      <c r="A4962" s="2" t="s">
        <v>4310</v>
      </c>
      <c r="B4962" s="2" t="s">
        <v>4756</v>
      </c>
      <c r="C4962" s="2" t="s">
        <v>4757</v>
      </c>
      <c r="D4962" s="3" t="str">
        <f t="shared" ref="D4962:D4964" si="779">HYPERLINK("https://12go.asia/en/travel/OR-Tambo-International-Airport/Komatipoort-Transfer", "12Go Link")</f>
        <v>12Go Link</v>
      </c>
      <c r="E4962" s="2" t="s">
        <v>191</v>
      </c>
    </row>
    <row r="4963">
      <c r="A4963" s="2" t="s">
        <v>4310</v>
      </c>
      <c r="B4963" s="2" t="s">
        <v>4756</v>
      </c>
      <c r="C4963" s="2" t="s">
        <v>4757</v>
      </c>
      <c r="D4963" s="3" t="str">
        <f t="shared" si="779"/>
        <v>12Go Link</v>
      </c>
      <c r="E4963" s="2" t="s">
        <v>192</v>
      </c>
    </row>
    <row r="4964">
      <c r="A4964" s="2" t="s">
        <v>4310</v>
      </c>
      <c r="B4964" s="2" t="s">
        <v>4756</v>
      </c>
      <c r="C4964" s="2" t="s">
        <v>4757</v>
      </c>
      <c r="D4964" s="3" t="str">
        <f t="shared" si="779"/>
        <v>12Go Link</v>
      </c>
      <c r="E4964" s="2" t="s">
        <v>193</v>
      </c>
    </row>
    <row r="4965">
      <c r="A4965" s="2" t="s">
        <v>4310</v>
      </c>
      <c r="B4965" s="2" t="s">
        <v>4758</v>
      </c>
      <c r="C4965" s="2" t="s">
        <v>4759</v>
      </c>
      <c r="D4965" s="3" t="str">
        <f t="shared" ref="D4965:D4967" si="780">HYPERLINK("https://12go.asia/en/travel/OR-Tambo-International-Airport/Kruger-National-Park-Transfer", "12Go Link")</f>
        <v>12Go Link</v>
      </c>
      <c r="E4965" s="2" t="s">
        <v>191</v>
      </c>
    </row>
    <row r="4966">
      <c r="A4966" s="2" t="s">
        <v>4310</v>
      </c>
      <c r="B4966" s="2" t="s">
        <v>4758</v>
      </c>
      <c r="C4966" s="2" t="s">
        <v>4759</v>
      </c>
      <c r="D4966" s="3" t="str">
        <f t="shared" si="780"/>
        <v>12Go Link</v>
      </c>
      <c r="E4966" s="2" t="s">
        <v>192</v>
      </c>
    </row>
    <row r="4967">
      <c r="A4967" s="2" t="s">
        <v>4310</v>
      </c>
      <c r="B4967" s="2" t="s">
        <v>4758</v>
      </c>
      <c r="C4967" s="2" t="s">
        <v>4759</v>
      </c>
      <c r="D4967" s="3" t="str">
        <f t="shared" si="780"/>
        <v>12Go Link</v>
      </c>
      <c r="E4967" s="2" t="s">
        <v>193</v>
      </c>
    </row>
    <row r="4968">
      <c r="A4968" s="2" t="s">
        <v>4310</v>
      </c>
      <c r="B4968" s="2" t="s">
        <v>4760</v>
      </c>
      <c r="C4968" s="2" t="s">
        <v>4761</v>
      </c>
      <c r="D4968" s="3" t="str">
        <f t="shared" ref="D4968:D4970" si="781">HYPERLINK("https://12go.asia/en/travel/OR-Tambo-International-Airport/Krugersdrop-Transfer", "12Go Link")</f>
        <v>12Go Link</v>
      </c>
      <c r="E4968" s="2" t="s">
        <v>191</v>
      </c>
    </row>
    <row r="4969">
      <c r="A4969" s="2" t="s">
        <v>4310</v>
      </c>
      <c r="B4969" s="2" t="s">
        <v>4760</v>
      </c>
      <c r="C4969" s="2" t="s">
        <v>4761</v>
      </c>
      <c r="D4969" s="3" t="str">
        <f t="shared" si="781"/>
        <v>12Go Link</v>
      </c>
      <c r="E4969" s="2" t="s">
        <v>192</v>
      </c>
    </row>
    <row r="4970">
      <c r="A4970" s="2" t="s">
        <v>4310</v>
      </c>
      <c r="B4970" s="2" t="s">
        <v>4760</v>
      </c>
      <c r="C4970" s="2" t="s">
        <v>4761</v>
      </c>
      <c r="D4970" s="3" t="str">
        <f t="shared" si="781"/>
        <v>12Go Link</v>
      </c>
      <c r="E4970" s="2" t="s">
        <v>193</v>
      </c>
    </row>
    <row r="4971">
      <c r="A4971" s="2" t="s">
        <v>4310</v>
      </c>
      <c r="B4971" s="2" t="s">
        <v>4760</v>
      </c>
      <c r="C4971" s="2" t="s">
        <v>4762</v>
      </c>
      <c r="D4971" s="3" t="str">
        <f t="shared" ref="D4971:D4973" si="782">HYPERLINK("https://12go.asia/en/travel/OR-Tambo-International-Airport/Muldersdrift-Transfer", "12Go Link")</f>
        <v>12Go Link</v>
      </c>
      <c r="E4971" s="2" t="s">
        <v>191</v>
      </c>
    </row>
    <row r="4972">
      <c r="A4972" s="2" t="s">
        <v>4310</v>
      </c>
      <c r="B4972" s="2" t="s">
        <v>4760</v>
      </c>
      <c r="C4972" s="2" t="s">
        <v>4762</v>
      </c>
      <c r="D4972" s="3" t="str">
        <f t="shared" si="782"/>
        <v>12Go Link</v>
      </c>
      <c r="E4972" s="2" t="s">
        <v>192</v>
      </c>
    </row>
    <row r="4973">
      <c r="A4973" s="2" t="s">
        <v>4310</v>
      </c>
      <c r="B4973" s="2" t="s">
        <v>4760</v>
      </c>
      <c r="C4973" s="2" t="s">
        <v>4762</v>
      </c>
      <c r="D4973" s="3" t="str">
        <f t="shared" si="782"/>
        <v>12Go Link</v>
      </c>
      <c r="E4973" s="2" t="s">
        <v>193</v>
      </c>
    </row>
    <row r="4974">
      <c r="A4974" s="2" t="s">
        <v>4310</v>
      </c>
      <c r="B4974" s="2" t="s">
        <v>4763</v>
      </c>
      <c r="C4974" s="2" t="s">
        <v>4764</v>
      </c>
      <c r="D4974" s="3" t="str">
        <f t="shared" ref="D4974:D4976" si="783">HYPERLINK("https://12go.asia/en/travel/OR-Tambo-International-Airport/Kwaggafontein-Transfer", "12Go Link")</f>
        <v>12Go Link</v>
      </c>
      <c r="E4974" s="2" t="s">
        <v>191</v>
      </c>
    </row>
    <row r="4975">
      <c r="A4975" s="2" t="s">
        <v>4310</v>
      </c>
      <c r="B4975" s="2" t="s">
        <v>4763</v>
      </c>
      <c r="C4975" s="2" t="s">
        <v>4764</v>
      </c>
      <c r="D4975" s="3" t="str">
        <f t="shared" si="783"/>
        <v>12Go Link</v>
      </c>
      <c r="E4975" s="2" t="s">
        <v>192</v>
      </c>
    </row>
    <row r="4976">
      <c r="A4976" s="2" t="s">
        <v>4310</v>
      </c>
      <c r="B4976" s="2" t="s">
        <v>4763</v>
      </c>
      <c r="C4976" s="2" t="s">
        <v>4764</v>
      </c>
      <c r="D4976" s="3" t="str">
        <f t="shared" si="783"/>
        <v>12Go Link</v>
      </c>
      <c r="E4976" s="2" t="s">
        <v>193</v>
      </c>
    </row>
    <row r="4977">
      <c r="A4977" s="2" t="s">
        <v>4310</v>
      </c>
      <c r="B4977" s="2" t="s">
        <v>4765</v>
      </c>
      <c r="C4977" s="2" t="s">
        <v>4766</v>
      </c>
      <c r="D4977" s="3" t="str">
        <f t="shared" ref="D4977:D4979" si="784">HYPERLINK("https://12go.asia/en/travel/OR-Tambo-International-Airport/KwaMhlanga-Transfer", "12Go Link")</f>
        <v>12Go Link</v>
      </c>
      <c r="E4977" s="2" t="s">
        <v>191</v>
      </c>
    </row>
    <row r="4978">
      <c r="A4978" s="2" t="s">
        <v>4310</v>
      </c>
      <c r="B4978" s="2" t="s">
        <v>4765</v>
      </c>
      <c r="C4978" s="2" t="s">
        <v>4766</v>
      </c>
      <c r="D4978" s="3" t="str">
        <f t="shared" si="784"/>
        <v>12Go Link</v>
      </c>
      <c r="E4978" s="2" t="s">
        <v>192</v>
      </c>
    </row>
    <row r="4979">
      <c r="A4979" s="2" t="s">
        <v>4310</v>
      </c>
      <c r="B4979" s="2" t="s">
        <v>4765</v>
      </c>
      <c r="C4979" s="2" t="s">
        <v>4766</v>
      </c>
      <c r="D4979" s="3" t="str">
        <f t="shared" si="784"/>
        <v>12Go Link</v>
      </c>
      <c r="E4979" s="2" t="s">
        <v>193</v>
      </c>
    </row>
    <row r="4980">
      <c r="A4980" s="2" t="s">
        <v>4310</v>
      </c>
      <c r="B4980" s="2" t="s">
        <v>4767</v>
      </c>
      <c r="C4980" s="2" t="s">
        <v>4768</v>
      </c>
      <c r="D4980" s="3" t="str">
        <f t="shared" ref="D4980:D4982" si="785">HYPERLINK("https://12go.asia/en/travel/OR-Tambo-International-Airport/Loopspruit-Transfer", "12Go Link")</f>
        <v>12Go Link</v>
      </c>
      <c r="E4980" s="2" t="s">
        <v>191</v>
      </c>
    </row>
    <row r="4981">
      <c r="A4981" s="2" t="s">
        <v>4310</v>
      </c>
      <c r="B4981" s="2" t="s">
        <v>4767</v>
      </c>
      <c r="C4981" s="2" t="s">
        <v>4768</v>
      </c>
      <c r="D4981" s="3" t="str">
        <f t="shared" si="785"/>
        <v>12Go Link</v>
      </c>
      <c r="E4981" s="2" t="s">
        <v>192</v>
      </c>
    </row>
    <row r="4982">
      <c r="A4982" s="2" t="s">
        <v>4310</v>
      </c>
      <c r="B4982" s="2" t="s">
        <v>4767</v>
      </c>
      <c r="C4982" s="2" t="s">
        <v>4768</v>
      </c>
      <c r="D4982" s="3" t="str">
        <f t="shared" si="785"/>
        <v>12Go Link</v>
      </c>
      <c r="E4982" s="2" t="s">
        <v>193</v>
      </c>
    </row>
    <row r="4983">
      <c r="A4983" s="2" t="s">
        <v>4310</v>
      </c>
      <c r="B4983" s="2" t="s">
        <v>4769</v>
      </c>
      <c r="C4983" s="2" t="s">
        <v>4770</v>
      </c>
      <c r="D4983" s="3" t="str">
        <f t="shared" ref="D4983:D4985" si="786">HYPERLINK("https://12go.asia/en/travel/OR-Tambo-International-Airport/Machadadorp-Hotel-Transfer", "12Go Link")</f>
        <v>12Go Link</v>
      </c>
      <c r="E4983" s="2" t="s">
        <v>191</v>
      </c>
    </row>
    <row r="4984">
      <c r="A4984" s="2" t="s">
        <v>4310</v>
      </c>
      <c r="B4984" s="2" t="s">
        <v>4769</v>
      </c>
      <c r="C4984" s="2" t="s">
        <v>4770</v>
      </c>
      <c r="D4984" s="3" t="str">
        <f t="shared" si="786"/>
        <v>12Go Link</v>
      </c>
      <c r="E4984" s="2" t="s">
        <v>192</v>
      </c>
    </row>
    <row r="4985">
      <c r="A4985" s="2" t="s">
        <v>4310</v>
      </c>
      <c r="B4985" s="2" t="s">
        <v>4769</v>
      </c>
      <c r="C4985" s="2" t="s">
        <v>4770</v>
      </c>
      <c r="D4985" s="3" t="str">
        <f t="shared" si="786"/>
        <v>12Go Link</v>
      </c>
      <c r="E4985" s="2" t="s">
        <v>193</v>
      </c>
    </row>
    <row r="4986">
      <c r="A4986" s="2" t="s">
        <v>4310</v>
      </c>
      <c r="B4986" s="2" t="s">
        <v>4771</v>
      </c>
      <c r="C4986" s="2" t="s">
        <v>4772</v>
      </c>
      <c r="D4986" s="3" t="str">
        <f t="shared" ref="D4986:D4988" si="787">HYPERLINK("https://12go.asia/en/travel/OR-Tambo-International-Airport/Madhikwe-Game-Reserve-Transfer", "12Go Link")</f>
        <v>12Go Link</v>
      </c>
      <c r="E4986" s="2" t="s">
        <v>191</v>
      </c>
    </row>
    <row r="4987">
      <c r="A4987" s="2" t="s">
        <v>4310</v>
      </c>
      <c r="B4987" s="2" t="s">
        <v>4771</v>
      </c>
      <c r="C4987" s="2" t="s">
        <v>4772</v>
      </c>
      <c r="D4987" s="3" t="str">
        <f t="shared" si="787"/>
        <v>12Go Link</v>
      </c>
      <c r="E4987" s="2" t="s">
        <v>192</v>
      </c>
    </row>
    <row r="4988">
      <c r="A4988" s="2" t="s">
        <v>4310</v>
      </c>
      <c r="B4988" s="2" t="s">
        <v>4771</v>
      </c>
      <c r="C4988" s="2" t="s">
        <v>4772</v>
      </c>
      <c r="D4988" s="3" t="str">
        <f t="shared" si="787"/>
        <v>12Go Link</v>
      </c>
      <c r="E4988" s="2" t="s">
        <v>193</v>
      </c>
    </row>
    <row r="4989">
      <c r="A4989" s="2" t="s">
        <v>4310</v>
      </c>
      <c r="B4989" s="2" t="s">
        <v>4773</v>
      </c>
      <c r="C4989" s="2" t="s">
        <v>4774</v>
      </c>
      <c r="D4989" s="3" t="str">
        <f t="shared" ref="D4989:D4991" si="788">HYPERLINK("https://12go.asia/en/travel/OR-Tambo-International-Airport/Malelane-Transfer", "12Go Link")</f>
        <v>12Go Link</v>
      </c>
      <c r="E4989" s="2" t="s">
        <v>191</v>
      </c>
    </row>
    <row r="4990">
      <c r="A4990" s="2" t="s">
        <v>4310</v>
      </c>
      <c r="B4990" s="2" t="s">
        <v>4773</v>
      </c>
      <c r="C4990" s="2" t="s">
        <v>4774</v>
      </c>
      <c r="D4990" s="3" t="str">
        <f t="shared" si="788"/>
        <v>12Go Link</v>
      </c>
      <c r="E4990" s="2" t="s">
        <v>192</v>
      </c>
    </row>
    <row r="4991">
      <c r="A4991" s="2" t="s">
        <v>4310</v>
      </c>
      <c r="B4991" s="2" t="s">
        <v>4773</v>
      </c>
      <c r="C4991" s="2" t="s">
        <v>4774</v>
      </c>
      <c r="D4991" s="3" t="str">
        <f t="shared" si="788"/>
        <v>12Go Link</v>
      </c>
      <c r="E4991" s="2" t="s">
        <v>193</v>
      </c>
    </row>
    <row r="4992">
      <c r="A4992" s="2" t="s">
        <v>4310</v>
      </c>
      <c r="B4992" s="2" t="s">
        <v>4775</v>
      </c>
      <c r="C4992" s="2" t="s">
        <v>4776</v>
      </c>
      <c r="D4992" s="3" t="str">
        <f t="shared" ref="D4992:D4994" si="789">HYPERLINK("https://12go.asia/en/travel/OR-Tambo-International-Airport/Kaapmuiden-Transfer", "12Go Link")</f>
        <v>12Go Link</v>
      </c>
      <c r="E4992" s="2" t="s">
        <v>191</v>
      </c>
    </row>
    <row r="4993">
      <c r="A4993" s="2" t="s">
        <v>4310</v>
      </c>
      <c r="B4993" s="2" t="s">
        <v>4775</v>
      </c>
      <c r="C4993" s="2" t="s">
        <v>4776</v>
      </c>
      <c r="D4993" s="3" t="str">
        <f t="shared" si="789"/>
        <v>12Go Link</v>
      </c>
      <c r="E4993" s="2" t="s">
        <v>192</v>
      </c>
    </row>
    <row r="4994">
      <c r="A4994" s="2" t="s">
        <v>4310</v>
      </c>
      <c r="B4994" s="2" t="s">
        <v>4775</v>
      </c>
      <c r="C4994" s="2" t="s">
        <v>4776</v>
      </c>
      <c r="D4994" s="3" t="str">
        <f t="shared" si="789"/>
        <v>12Go Link</v>
      </c>
      <c r="E4994" s="2" t="s">
        <v>193</v>
      </c>
    </row>
    <row r="4995">
      <c r="A4995" s="2" t="s">
        <v>4310</v>
      </c>
      <c r="B4995" s="2" t="s">
        <v>4777</v>
      </c>
      <c r="C4995" s="2" t="s">
        <v>4778</v>
      </c>
      <c r="D4995" s="3" t="str">
        <f t="shared" ref="D4995:D4997" si="790">HYPERLINK("https://12go.asia/en/travel/OR-Tambo-International-Airport/Nelspruit-Transfer", "12Go Link")</f>
        <v>12Go Link</v>
      </c>
      <c r="E4995" s="2" t="s">
        <v>191</v>
      </c>
    </row>
    <row r="4996">
      <c r="A4996" s="2" t="s">
        <v>4310</v>
      </c>
      <c r="B4996" s="2" t="s">
        <v>4777</v>
      </c>
      <c r="C4996" s="2" t="s">
        <v>4778</v>
      </c>
      <c r="D4996" s="3" t="str">
        <f t="shared" si="790"/>
        <v>12Go Link</v>
      </c>
      <c r="E4996" s="2" t="s">
        <v>192</v>
      </c>
    </row>
    <row r="4997">
      <c r="A4997" s="2" t="s">
        <v>4310</v>
      </c>
      <c r="B4997" s="2" t="s">
        <v>4777</v>
      </c>
      <c r="C4997" s="2" t="s">
        <v>4778</v>
      </c>
      <c r="D4997" s="3" t="str">
        <f t="shared" si="790"/>
        <v>12Go Link</v>
      </c>
      <c r="E4997" s="2" t="s">
        <v>193</v>
      </c>
    </row>
    <row r="4998">
      <c r="A4998" s="2" t="s">
        <v>4310</v>
      </c>
      <c r="B4998" s="2" t="s">
        <v>4779</v>
      </c>
      <c r="C4998" s="2" t="s">
        <v>4780</v>
      </c>
      <c r="D4998" s="3" t="str">
        <f t="shared" ref="D4998:D5000" si="791">HYPERLINK("https://12go.asia/en/travel/OR-Tambo-International-Airport/Meyersdale-Transfer", "12Go Link")</f>
        <v>12Go Link</v>
      </c>
      <c r="E4998" s="2" t="s">
        <v>191</v>
      </c>
    </row>
    <row r="4999">
      <c r="A4999" s="2" t="s">
        <v>4310</v>
      </c>
      <c r="B4999" s="2" t="s">
        <v>4779</v>
      </c>
      <c r="C4999" s="2" t="s">
        <v>4780</v>
      </c>
      <c r="D4999" s="3" t="str">
        <f t="shared" si="791"/>
        <v>12Go Link</v>
      </c>
      <c r="E4999" s="2" t="s">
        <v>192</v>
      </c>
    </row>
    <row r="5000">
      <c r="A5000" s="2" t="s">
        <v>4310</v>
      </c>
      <c r="B5000" s="2" t="s">
        <v>4779</v>
      </c>
      <c r="C5000" s="2" t="s">
        <v>4780</v>
      </c>
      <c r="D5000" s="3" t="str">
        <f t="shared" si="791"/>
        <v>12Go Link</v>
      </c>
      <c r="E5000" s="2" t="s">
        <v>193</v>
      </c>
    </row>
    <row r="5001">
      <c r="A5001" s="2" t="s">
        <v>4310</v>
      </c>
      <c r="B5001" s="2" t="s">
        <v>4781</v>
      </c>
      <c r="C5001" s="2" t="s">
        <v>4782</v>
      </c>
      <c r="D5001" s="3" t="str">
        <f t="shared" ref="D5001:D5003" si="792">HYPERLINK("https://12go.asia/en/travel/OR-Tambo-International-Airport/Middleburg-Transfer", "12Go Link")</f>
        <v>12Go Link</v>
      </c>
      <c r="E5001" s="2" t="s">
        <v>191</v>
      </c>
    </row>
    <row r="5002">
      <c r="A5002" s="2" t="s">
        <v>4310</v>
      </c>
      <c r="B5002" s="2" t="s">
        <v>4781</v>
      </c>
      <c r="C5002" s="2" t="s">
        <v>4782</v>
      </c>
      <c r="D5002" s="3" t="str">
        <f t="shared" si="792"/>
        <v>12Go Link</v>
      </c>
      <c r="E5002" s="2" t="s">
        <v>192</v>
      </c>
    </row>
    <row r="5003">
      <c r="A5003" s="2" t="s">
        <v>4310</v>
      </c>
      <c r="B5003" s="2" t="s">
        <v>4781</v>
      </c>
      <c r="C5003" s="2" t="s">
        <v>4782</v>
      </c>
      <c r="D5003" s="3" t="str">
        <f t="shared" si="792"/>
        <v>12Go Link</v>
      </c>
      <c r="E5003" s="2" t="s">
        <v>193</v>
      </c>
    </row>
    <row r="5004">
      <c r="A5004" s="2" t="s">
        <v>4310</v>
      </c>
      <c r="B5004" s="2" t="s">
        <v>4783</v>
      </c>
      <c r="C5004" s="2" t="s">
        <v>4784</v>
      </c>
      <c r="D5004" s="3" t="str">
        <f t="shared" ref="D5004:D5006" si="793">HYPERLINK("https://12go.asia/en/travel/OR-Tambo-International-Airport/Midrand-Transfer", "12Go Link")</f>
        <v>12Go Link</v>
      </c>
      <c r="E5004" s="2" t="s">
        <v>191</v>
      </c>
    </row>
    <row r="5005">
      <c r="A5005" s="2" t="s">
        <v>4310</v>
      </c>
      <c r="B5005" s="2" t="s">
        <v>4783</v>
      </c>
      <c r="C5005" s="2" t="s">
        <v>4784</v>
      </c>
      <c r="D5005" s="3" t="str">
        <f t="shared" si="793"/>
        <v>12Go Link</v>
      </c>
      <c r="E5005" s="2" t="s">
        <v>192</v>
      </c>
    </row>
    <row r="5006">
      <c r="A5006" s="2" t="s">
        <v>4310</v>
      </c>
      <c r="B5006" s="2" t="s">
        <v>4783</v>
      </c>
      <c r="C5006" s="2" t="s">
        <v>4784</v>
      </c>
      <c r="D5006" s="3" t="str">
        <f t="shared" si="793"/>
        <v>12Go Link</v>
      </c>
      <c r="E5006" s="2" t="s">
        <v>193</v>
      </c>
    </row>
    <row r="5007">
      <c r="A5007" s="2" t="s">
        <v>4310</v>
      </c>
      <c r="B5007" s="2" t="s">
        <v>4785</v>
      </c>
      <c r="C5007" s="2" t="s">
        <v>4786</v>
      </c>
      <c r="D5007" s="3" t="str">
        <f t="shared" ref="D5007:D5009" si="794">HYPERLINK("https://12go.asia/en/travel/OR-Tambo-International-Airport/Perdekop-Transfer", "12Go Link")</f>
        <v>12Go Link</v>
      </c>
      <c r="E5007" s="2" t="s">
        <v>191</v>
      </c>
    </row>
    <row r="5008">
      <c r="A5008" s="2" t="s">
        <v>4310</v>
      </c>
      <c r="B5008" s="2" t="s">
        <v>4785</v>
      </c>
      <c r="C5008" s="2" t="s">
        <v>4786</v>
      </c>
      <c r="D5008" s="3" t="str">
        <f t="shared" si="794"/>
        <v>12Go Link</v>
      </c>
      <c r="E5008" s="2" t="s">
        <v>192</v>
      </c>
    </row>
    <row r="5009">
      <c r="A5009" s="2" t="s">
        <v>4310</v>
      </c>
      <c r="B5009" s="2" t="s">
        <v>4785</v>
      </c>
      <c r="C5009" s="2" t="s">
        <v>4786</v>
      </c>
      <c r="D5009" s="3" t="str">
        <f t="shared" si="794"/>
        <v>12Go Link</v>
      </c>
      <c r="E5009" s="2" t="s">
        <v>193</v>
      </c>
    </row>
    <row r="5010">
      <c r="A5010" s="2" t="s">
        <v>4310</v>
      </c>
      <c r="B5010" s="2" t="s">
        <v>4787</v>
      </c>
      <c r="C5010" s="2" t="s">
        <v>4788</v>
      </c>
      <c r="D5010" s="3" t="str">
        <f t="shared" ref="D5010:D5012" si="795">HYPERLINK("https://12go.asia/en/travel/OR-Tambo-International-Airport/Pilanesberg-Transfer", "12Go Link")</f>
        <v>12Go Link</v>
      </c>
      <c r="E5010" s="2" t="s">
        <v>191</v>
      </c>
    </row>
    <row r="5011">
      <c r="A5011" s="2" t="s">
        <v>4310</v>
      </c>
      <c r="B5011" s="2" t="s">
        <v>4787</v>
      </c>
      <c r="C5011" s="2" t="s">
        <v>4788</v>
      </c>
      <c r="D5011" s="3" t="str">
        <f t="shared" si="795"/>
        <v>12Go Link</v>
      </c>
      <c r="E5011" s="2" t="s">
        <v>192</v>
      </c>
    </row>
    <row r="5012">
      <c r="A5012" s="2" t="s">
        <v>4310</v>
      </c>
      <c r="B5012" s="2" t="s">
        <v>4787</v>
      </c>
      <c r="C5012" s="2" t="s">
        <v>4788</v>
      </c>
      <c r="D5012" s="3" t="str">
        <f t="shared" si="795"/>
        <v>12Go Link</v>
      </c>
      <c r="E5012" s="2" t="s">
        <v>193</v>
      </c>
    </row>
    <row r="5013">
      <c r="A5013" s="2" t="s">
        <v>4310</v>
      </c>
      <c r="B5013" s="2" t="s">
        <v>4789</v>
      </c>
      <c r="C5013" s="2" t="s">
        <v>4790</v>
      </c>
      <c r="D5013" s="3" t="str">
        <f t="shared" ref="D5013:D5015" si="796">HYPERLINK("https://12go.asia/en/travel/OR-Tambo-International-Airport/Ivory-Tree-Game-Lodge-Transfer", "12Go Link")</f>
        <v>12Go Link</v>
      </c>
      <c r="E5013" s="2" t="s">
        <v>191</v>
      </c>
    </row>
    <row r="5014">
      <c r="A5014" s="2" t="s">
        <v>4310</v>
      </c>
      <c r="B5014" s="2" t="s">
        <v>4789</v>
      </c>
      <c r="C5014" s="2" t="s">
        <v>4790</v>
      </c>
      <c r="D5014" s="3" t="str">
        <f t="shared" si="796"/>
        <v>12Go Link</v>
      </c>
      <c r="E5014" s="2" t="s">
        <v>192</v>
      </c>
    </row>
    <row r="5015">
      <c r="A5015" s="2" t="s">
        <v>4310</v>
      </c>
      <c r="B5015" s="2" t="s">
        <v>4789</v>
      </c>
      <c r="C5015" s="2" t="s">
        <v>4790</v>
      </c>
      <c r="D5015" s="3" t="str">
        <f t="shared" si="796"/>
        <v>12Go Link</v>
      </c>
      <c r="E5015" s="2" t="s">
        <v>193</v>
      </c>
    </row>
    <row r="5016">
      <c r="A5016" s="2" t="s">
        <v>4310</v>
      </c>
      <c r="B5016" s="2" t="s">
        <v>4789</v>
      </c>
      <c r="C5016" s="2" t="s">
        <v>4791</v>
      </c>
      <c r="D5016" s="3" t="str">
        <f t="shared" ref="D5016:D5018" si="797">HYPERLINK("https://12go.asia/en/travel/OR-Tambo-International-Airport/Shepherd-Tree-Game-Lodge-Transfer", "12Go Link")</f>
        <v>12Go Link</v>
      </c>
      <c r="E5016" s="2" t="s">
        <v>191</v>
      </c>
    </row>
    <row r="5017">
      <c r="A5017" s="2" t="s">
        <v>4310</v>
      </c>
      <c r="B5017" s="2" t="s">
        <v>4789</v>
      </c>
      <c r="C5017" s="2" t="s">
        <v>4791</v>
      </c>
      <c r="D5017" s="3" t="str">
        <f t="shared" si="797"/>
        <v>12Go Link</v>
      </c>
      <c r="E5017" s="2" t="s">
        <v>192</v>
      </c>
    </row>
    <row r="5018">
      <c r="A5018" s="2" t="s">
        <v>4310</v>
      </c>
      <c r="B5018" s="2" t="s">
        <v>4789</v>
      </c>
      <c r="C5018" s="2" t="s">
        <v>4791</v>
      </c>
      <c r="D5018" s="3" t="str">
        <f t="shared" si="797"/>
        <v>12Go Link</v>
      </c>
      <c r="E5018" s="2" t="s">
        <v>193</v>
      </c>
    </row>
    <row r="5019">
      <c r="A5019" s="2" t="s">
        <v>4310</v>
      </c>
      <c r="B5019" s="2" t="s">
        <v>4792</v>
      </c>
      <c r="C5019" s="2" t="s">
        <v>4793</v>
      </c>
      <c r="D5019" s="3" t="str">
        <f t="shared" ref="D5019:D5021" si="798">HYPERLINK("https://12go.asia/en/travel/OR-Tambo-International-Airport/Pont-Drift-Transfer", "12Go Link")</f>
        <v>12Go Link</v>
      </c>
      <c r="E5019" s="2" t="s">
        <v>191</v>
      </c>
    </row>
    <row r="5020">
      <c r="A5020" s="2" t="s">
        <v>4310</v>
      </c>
      <c r="B5020" s="2" t="s">
        <v>4792</v>
      </c>
      <c r="C5020" s="2" t="s">
        <v>4793</v>
      </c>
      <c r="D5020" s="3" t="str">
        <f t="shared" si="798"/>
        <v>12Go Link</v>
      </c>
      <c r="E5020" s="2" t="s">
        <v>192</v>
      </c>
    </row>
    <row r="5021">
      <c r="A5021" s="2" t="s">
        <v>4310</v>
      </c>
      <c r="B5021" s="2" t="s">
        <v>4792</v>
      </c>
      <c r="C5021" s="2" t="s">
        <v>4793</v>
      </c>
      <c r="D5021" s="3" t="str">
        <f t="shared" si="798"/>
        <v>12Go Link</v>
      </c>
      <c r="E5021" s="2" t="s">
        <v>193</v>
      </c>
    </row>
    <row r="5022">
      <c r="A5022" s="2" t="s">
        <v>4310</v>
      </c>
      <c r="B5022" s="2" t="s">
        <v>4794</v>
      </c>
      <c r="C5022" s="2" t="s">
        <v>4795</v>
      </c>
      <c r="D5022" s="3" t="str">
        <f t="shared" ref="D5022:D5024" si="799">HYPERLINK("https://12go.asia/en/travel/OR-Tambo-International-Airport/Potchestroom-Transfer", "12Go Link")</f>
        <v>12Go Link</v>
      </c>
      <c r="E5022" s="2" t="s">
        <v>191</v>
      </c>
    </row>
    <row r="5023">
      <c r="A5023" s="2" t="s">
        <v>4310</v>
      </c>
      <c r="B5023" s="2" t="s">
        <v>4794</v>
      </c>
      <c r="C5023" s="2" t="s">
        <v>4795</v>
      </c>
      <c r="D5023" s="3" t="str">
        <f t="shared" si="799"/>
        <v>12Go Link</v>
      </c>
      <c r="E5023" s="2" t="s">
        <v>192</v>
      </c>
    </row>
    <row r="5024">
      <c r="A5024" s="2" t="s">
        <v>4310</v>
      </c>
      <c r="B5024" s="2" t="s">
        <v>4794</v>
      </c>
      <c r="C5024" s="2" t="s">
        <v>4795</v>
      </c>
      <c r="D5024" s="3" t="str">
        <f t="shared" si="799"/>
        <v>12Go Link</v>
      </c>
      <c r="E5024" s="2" t="s">
        <v>193</v>
      </c>
    </row>
    <row r="5025">
      <c r="A5025" s="2" t="s">
        <v>4310</v>
      </c>
      <c r="B5025" s="2" t="s">
        <v>4796</v>
      </c>
      <c r="C5025" s="2" t="s">
        <v>4797</v>
      </c>
      <c r="D5025" s="3" t="str">
        <f t="shared" ref="D5025:D5027" si="800">HYPERLINK("https://12go.asia/en/travel/OR-Tambo-International-Airport/Menlyn-Transfer", "12Go Link")</f>
        <v>12Go Link</v>
      </c>
      <c r="E5025" s="2" t="s">
        <v>191</v>
      </c>
    </row>
    <row r="5026">
      <c r="A5026" s="2" t="s">
        <v>4310</v>
      </c>
      <c r="B5026" s="2" t="s">
        <v>4796</v>
      </c>
      <c r="C5026" s="2" t="s">
        <v>4797</v>
      </c>
      <c r="D5026" s="3" t="str">
        <f t="shared" si="800"/>
        <v>12Go Link</v>
      </c>
      <c r="E5026" s="2" t="s">
        <v>192</v>
      </c>
    </row>
    <row r="5027">
      <c r="A5027" s="2" t="s">
        <v>4310</v>
      </c>
      <c r="B5027" s="2" t="s">
        <v>4796</v>
      </c>
      <c r="C5027" s="2" t="s">
        <v>4797</v>
      </c>
      <c r="D5027" s="3" t="str">
        <f t="shared" si="800"/>
        <v>12Go Link</v>
      </c>
      <c r="E5027" s="2" t="s">
        <v>193</v>
      </c>
    </row>
    <row r="5028">
      <c r="A5028" s="2" t="s">
        <v>4310</v>
      </c>
      <c r="B5028" s="2" t="s">
        <v>4796</v>
      </c>
      <c r="C5028" s="2" t="s">
        <v>4798</v>
      </c>
      <c r="D5028" s="3" t="str">
        <f t="shared" ref="D5028:D5030" si="801">HYPERLINK("https://12go.asia/en/travel/OR-Tambo-International-Airport/Pretoria-Transfer", "12Go Link")</f>
        <v>12Go Link</v>
      </c>
      <c r="E5028" s="2" t="s">
        <v>191</v>
      </c>
    </row>
    <row r="5029">
      <c r="A5029" s="2" t="s">
        <v>4310</v>
      </c>
      <c r="B5029" s="2" t="s">
        <v>4796</v>
      </c>
      <c r="C5029" s="2" t="s">
        <v>4798</v>
      </c>
      <c r="D5029" s="3" t="str">
        <f t="shared" si="801"/>
        <v>12Go Link</v>
      </c>
      <c r="E5029" s="2" t="s">
        <v>192</v>
      </c>
    </row>
    <row r="5030">
      <c r="A5030" s="2" t="s">
        <v>4310</v>
      </c>
      <c r="B5030" s="2" t="s">
        <v>4796</v>
      </c>
      <c r="C5030" s="2" t="s">
        <v>4798</v>
      </c>
      <c r="D5030" s="3" t="str">
        <f t="shared" si="801"/>
        <v>12Go Link</v>
      </c>
      <c r="E5030" s="2" t="s">
        <v>193</v>
      </c>
    </row>
    <row r="5031">
      <c r="A5031" s="2" t="s">
        <v>4310</v>
      </c>
      <c r="B5031" s="2" t="s">
        <v>4799</v>
      </c>
      <c r="C5031" s="2" t="s">
        <v>4800</v>
      </c>
      <c r="D5031" s="3" t="str">
        <f t="shared" ref="D5031:D5033" si="802">HYPERLINK("https://12go.asia/en/travel/OR-Tambo-International-Airport/Bushill-Estate-Transfer", "12Go Link")</f>
        <v>12Go Link</v>
      </c>
      <c r="E5031" s="2" t="s">
        <v>191</v>
      </c>
    </row>
    <row r="5032">
      <c r="A5032" s="2" t="s">
        <v>4310</v>
      </c>
      <c r="B5032" s="2" t="s">
        <v>4799</v>
      </c>
      <c r="C5032" s="2" t="s">
        <v>4800</v>
      </c>
      <c r="D5032" s="3" t="str">
        <f t="shared" si="802"/>
        <v>12Go Link</v>
      </c>
      <c r="E5032" s="2" t="s">
        <v>192</v>
      </c>
    </row>
    <row r="5033">
      <c r="A5033" s="2" t="s">
        <v>4310</v>
      </c>
      <c r="B5033" s="2" t="s">
        <v>4799</v>
      </c>
      <c r="C5033" s="2" t="s">
        <v>4800</v>
      </c>
      <c r="D5033" s="3" t="str">
        <f t="shared" si="802"/>
        <v>12Go Link</v>
      </c>
      <c r="E5033" s="2" t="s">
        <v>193</v>
      </c>
    </row>
    <row r="5034">
      <c r="A5034" s="2" t="s">
        <v>4310</v>
      </c>
      <c r="B5034" s="2" t="s">
        <v>4799</v>
      </c>
      <c r="C5034" s="2" t="s">
        <v>4801</v>
      </c>
      <c r="D5034" s="3" t="str">
        <f t="shared" ref="D5034:D5036" si="803">HYPERLINK("https://12go.asia/en/travel/OR-Tambo-International-Airport/Northriding-Transfer", "12Go Link")</f>
        <v>12Go Link</v>
      </c>
      <c r="E5034" s="2" t="s">
        <v>191</v>
      </c>
    </row>
    <row r="5035">
      <c r="A5035" s="2" t="s">
        <v>4310</v>
      </c>
      <c r="B5035" s="2" t="s">
        <v>4799</v>
      </c>
      <c r="C5035" s="2" t="s">
        <v>4801</v>
      </c>
      <c r="D5035" s="3" t="str">
        <f t="shared" si="803"/>
        <v>12Go Link</v>
      </c>
      <c r="E5035" s="2" t="s">
        <v>192</v>
      </c>
    </row>
    <row r="5036">
      <c r="A5036" s="2" t="s">
        <v>4310</v>
      </c>
      <c r="B5036" s="2" t="s">
        <v>4799</v>
      </c>
      <c r="C5036" s="2" t="s">
        <v>4801</v>
      </c>
      <c r="D5036" s="3" t="str">
        <f t="shared" si="803"/>
        <v>12Go Link</v>
      </c>
      <c r="E5036" s="2" t="s">
        <v>193</v>
      </c>
    </row>
    <row r="5037">
      <c r="A5037" s="2" t="s">
        <v>4310</v>
      </c>
      <c r="B5037" s="2" t="s">
        <v>4802</v>
      </c>
      <c r="C5037" s="2" t="s">
        <v>4803</v>
      </c>
      <c r="D5037" s="3" t="str">
        <f t="shared" ref="D5037:D5039" si="804">HYPERLINK("https://12go.asia/en/travel/OR-Tambo-International-Airport/Roodepoort-Transfer", "12Go Link")</f>
        <v>12Go Link</v>
      </c>
      <c r="E5037" s="2" t="s">
        <v>191</v>
      </c>
    </row>
    <row r="5038">
      <c r="A5038" s="2" t="s">
        <v>4310</v>
      </c>
      <c r="B5038" s="2" t="s">
        <v>4802</v>
      </c>
      <c r="C5038" s="2" t="s">
        <v>4803</v>
      </c>
      <c r="D5038" s="3" t="str">
        <f t="shared" si="804"/>
        <v>12Go Link</v>
      </c>
      <c r="E5038" s="2" t="s">
        <v>192</v>
      </c>
    </row>
    <row r="5039">
      <c r="A5039" s="2" t="s">
        <v>4310</v>
      </c>
      <c r="B5039" s="2" t="s">
        <v>4802</v>
      </c>
      <c r="C5039" s="2" t="s">
        <v>4803</v>
      </c>
      <c r="D5039" s="3" t="str">
        <f t="shared" si="804"/>
        <v>12Go Link</v>
      </c>
      <c r="E5039" s="2" t="s">
        <v>193</v>
      </c>
    </row>
    <row r="5040">
      <c r="A5040" s="2" t="s">
        <v>4310</v>
      </c>
      <c r="B5040" s="2" t="s">
        <v>4802</v>
      </c>
      <c r="C5040" s="2" t="s">
        <v>4804</v>
      </c>
      <c r="D5040" s="3" t="str">
        <f t="shared" ref="D5040:D5042" si="805">HYPERLINK("https://12go.asia/en/travel/OR-Tambo-International-Airport/Strubens-Valley-Transfer", "12Go Link")</f>
        <v>12Go Link</v>
      </c>
      <c r="E5040" s="2" t="s">
        <v>191</v>
      </c>
    </row>
    <row r="5041">
      <c r="A5041" s="2" t="s">
        <v>4310</v>
      </c>
      <c r="B5041" s="2" t="s">
        <v>4802</v>
      </c>
      <c r="C5041" s="2" t="s">
        <v>4804</v>
      </c>
      <c r="D5041" s="3" t="str">
        <f t="shared" si="805"/>
        <v>12Go Link</v>
      </c>
      <c r="E5041" s="2" t="s">
        <v>192</v>
      </c>
    </row>
    <row r="5042">
      <c r="A5042" s="2" t="s">
        <v>4310</v>
      </c>
      <c r="B5042" s="2" t="s">
        <v>4802</v>
      </c>
      <c r="C5042" s="2" t="s">
        <v>4804</v>
      </c>
      <c r="D5042" s="3" t="str">
        <f t="shared" si="805"/>
        <v>12Go Link</v>
      </c>
      <c r="E5042" s="2" t="s">
        <v>193</v>
      </c>
    </row>
    <row r="5043">
      <c r="A5043" s="2" t="s">
        <v>4310</v>
      </c>
      <c r="B5043" s="2" t="s">
        <v>4802</v>
      </c>
      <c r="C5043" s="2" t="s">
        <v>4805</v>
      </c>
      <c r="D5043" s="3" t="str">
        <f t="shared" ref="D5043:D5045" si="806">HYPERLINK("https://12go.asia/en/travel/OR-Tambo-International-Airport/Wilgeheuwel-Transfer", "12Go Link")</f>
        <v>12Go Link</v>
      </c>
      <c r="E5043" s="2" t="s">
        <v>191</v>
      </c>
    </row>
    <row r="5044">
      <c r="A5044" s="2" t="s">
        <v>4310</v>
      </c>
      <c r="B5044" s="2" t="s">
        <v>4802</v>
      </c>
      <c r="C5044" s="2" t="s">
        <v>4805</v>
      </c>
      <c r="D5044" s="3" t="str">
        <f t="shared" si="806"/>
        <v>12Go Link</v>
      </c>
      <c r="E5044" s="2" t="s">
        <v>192</v>
      </c>
    </row>
    <row r="5045">
      <c r="A5045" s="2" t="s">
        <v>4310</v>
      </c>
      <c r="B5045" s="2" t="s">
        <v>4802</v>
      </c>
      <c r="C5045" s="2" t="s">
        <v>4805</v>
      </c>
      <c r="D5045" s="3" t="str">
        <f t="shared" si="806"/>
        <v>12Go Link</v>
      </c>
      <c r="E5045" s="2" t="s">
        <v>193</v>
      </c>
    </row>
    <row r="5046">
      <c r="A5046" s="2" t="s">
        <v>4310</v>
      </c>
      <c r="B5046" s="2" t="s">
        <v>4802</v>
      </c>
      <c r="C5046" s="2" t="s">
        <v>4806</v>
      </c>
      <c r="D5046" s="3" t="str">
        <f t="shared" ref="D5046:D5048" si="807">HYPERLINK("https://12go.asia/en/travel/OR-Tambo-International-Airport/Wilro-Park-Transfer", "12Go Link")</f>
        <v>12Go Link</v>
      </c>
      <c r="E5046" s="2" t="s">
        <v>191</v>
      </c>
    </row>
    <row r="5047">
      <c r="A5047" s="2" t="s">
        <v>4310</v>
      </c>
      <c r="B5047" s="2" t="s">
        <v>4802</v>
      </c>
      <c r="C5047" s="2" t="s">
        <v>4806</v>
      </c>
      <c r="D5047" s="3" t="str">
        <f t="shared" si="807"/>
        <v>12Go Link</v>
      </c>
      <c r="E5047" s="2" t="s">
        <v>192</v>
      </c>
    </row>
    <row r="5048">
      <c r="A5048" s="2" t="s">
        <v>4310</v>
      </c>
      <c r="B5048" s="2" t="s">
        <v>4802</v>
      </c>
      <c r="C5048" s="2" t="s">
        <v>4806</v>
      </c>
      <c r="D5048" s="3" t="str">
        <f t="shared" si="807"/>
        <v>12Go Link</v>
      </c>
      <c r="E5048" s="2" t="s">
        <v>193</v>
      </c>
    </row>
    <row r="5049">
      <c r="A5049" s="2" t="s">
        <v>4310</v>
      </c>
      <c r="B5049" s="2" t="s">
        <v>4802</v>
      </c>
      <c r="C5049" s="2" t="s">
        <v>4807</v>
      </c>
      <c r="D5049" s="3" t="str">
        <f t="shared" ref="D5049:D5051" si="808">HYPERLINK("https://12go.asia/en/travel/OR-Tambo-International-Airport/Witpoortjie-Transfer", "12Go Link")</f>
        <v>12Go Link</v>
      </c>
      <c r="E5049" s="2" t="s">
        <v>191</v>
      </c>
    </row>
    <row r="5050">
      <c r="A5050" s="2" t="s">
        <v>4310</v>
      </c>
      <c r="B5050" s="2" t="s">
        <v>4802</v>
      </c>
      <c r="C5050" s="2" t="s">
        <v>4807</v>
      </c>
      <c r="D5050" s="3" t="str">
        <f t="shared" si="808"/>
        <v>12Go Link</v>
      </c>
      <c r="E5050" s="2" t="s">
        <v>192</v>
      </c>
    </row>
    <row r="5051">
      <c r="A5051" s="2" t="s">
        <v>4310</v>
      </c>
      <c r="B5051" s="2" t="s">
        <v>4802</v>
      </c>
      <c r="C5051" s="2" t="s">
        <v>4807</v>
      </c>
      <c r="D5051" s="3" t="str">
        <f t="shared" si="808"/>
        <v>12Go Link</v>
      </c>
      <c r="E5051" s="2" t="s">
        <v>193</v>
      </c>
    </row>
    <row r="5052">
      <c r="A5052" s="2" t="s">
        <v>4310</v>
      </c>
      <c r="B5052" s="2" t="s">
        <v>4808</v>
      </c>
      <c r="C5052" s="2" t="s">
        <v>4809</v>
      </c>
      <c r="D5052" s="3" t="str">
        <f t="shared" ref="D5052:D5054" si="809">HYPERLINK("https://12go.asia/en/travel/OR-Tambo-International-Airport/Rustenburg-Transfer", "12Go Link")</f>
        <v>12Go Link</v>
      </c>
      <c r="E5052" s="2" t="s">
        <v>191</v>
      </c>
    </row>
    <row r="5053">
      <c r="A5053" s="2" t="s">
        <v>4310</v>
      </c>
      <c r="B5053" s="2" t="s">
        <v>4808</v>
      </c>
      <c r="C5053" s="2" t="s">
        <v>4809</v>
      </c>
      <c r="D5053" s="3" t="str">
        <f t="shared" si="809"/>
        <v>12Go Link</v>
      </c>
      <c r="E5053" s="2" t="s">
        <v>192</v>
      </c>
    </row>
    <row r="5054">
      <c r="A5054" s="2" t="s">
        <v>4310</v>
      </c>
      <c r="B5054" s="2" t="s">
        <v>4808</v>
      </c>
      <c r="C5054" s="2" t="s">
        <v>4809</v>
      </c>
      <c r="D5054" s="3" t="str">
        <f t="shared" si="809"/>
        <v>12Go Link</v>
      </c>
      <c r="E5054" s="2" t="s">
        <v>193</v>
      </c>
    </row>
    <row r="5055">
      <c r="A5055" s="2" t="s">
        <v>4310</v>
      </c>
      <c r="B5055" s="2" t="s">
        <v>4810</v>
      </c>
      <c r="C5055" s="2" t="s">
        <v>4811</v>
      </c>
      <c r="D5055" s="3" t="str">
        <f t="shared" ref="D5055:D5057" si="810">HYPERLINK("https://12go.asia/en/travel/OR-Tambo-International-Airport/Sabie-Transfer", "12Go Link")</f>
        <v>12Go Link</v>
      </c>
      <c r="E5055" s="2" t="s">
        <v>191</v>
      </c>
    </row>
    <row r="5056">
      <c r="A5056" s="2" t="s">
        <v>4310</v>
      </c>
      <c r="B5056" s="2" t="s">
        <v>4810</v>
      </c>
      <c r="C5056" s="2" t="s">
        <v>4811</v>
      </c>
      <c r="D5056" s="3" t="str">
        <f t="shared" si="810"/>
        <v>12Go Link</v>
      </c>
      <c r="E5056" s="2" t="s">
        <v>192</v>
      </c>
    </row>
    <row r="5057">
      <c r="A5057" s="2" t="s">
        <v>4310</v>
      </c>
      <c r="B5057" s="2" t="s">
        <v>4810</v>
      </c>
      <c r="C5057" s="2" t="s">
        <v>4811</v>
      </c>
      <c r="D5057" s="3" t="str">
        <f t="shared" si="810"/>
        <v>12Go Link</v>
      </c>
      <c r="E5057" s="2" t="s">
        <v>193</v>
      </c>
    </row>
    <row r="5058">
      <c r="A5058" s="2" t="s">
        <v>4310</v>
      </c>
      <c r="B5058" s="2" t="s">
        <v>4812</v>
      </c>
      <c r="C5058" s="2" t="s">
        <v>4813</v>
      </c>
      <c r="D5058" s="3" t="str">
        <f t="shared" ref="D5058:D5060" si="811">HYPERLINK("https://12go.asia/en/travel/OR-Tambo-International-Airport/Broadaches-Transfer", "12Go Link")</f>
        <v>12Go Link</v>
      </c>
      <c r="E5058" s="2" t="s">
        <v>191</v>
      </c>
    </row>
    <row r="5059">
      <c r="A5059" s="2" t="s">
        <v>4310</v>
      </c>
      <c r="B5059" s="2" t="s">
        <v>4812</v>
      </c>
      <c r="C5059" s="2" t="s">
        <v>4813</v>
      </c>
      <c r="D5059" s="3" t="str">
        <f t="shared" si="811"/>
        <v>12Go Link</v>
      </c>
      <c r="E5059" s="2" t="s">
        <v>192</v>
      </c>
    </row>
    <row r="5060">
      <c r="A5060" s="2" t="s">
        <v>4310</v>
      </c>
      <c r="B5060" s="2" t="s">
        <v>4812</v>
      </c>
      <c r="C5060" s="2" t="s">
        <v>4813</v>
      </c>
      <c r="D5060" s="3" t="str">
        <f t="shared" si="811"/>
        <v>12Go Link</v>
      </c>
      <c r="E5060" s="2" t="s">
        <v>193</v>
      </c>
    </row>
    <row r="5061">
      <c r="A5061" s="2" t="s">
        <v>4310</v>
      </c>
      <c r="B5061" s="2" t="s">
        <v>4812</v>
      </c>
      <c r="C5061" s="2" t="s">
        <v>4814</v>
      </c>
      <c r="D5061" s="3" t="str">
        <f t="shared" ref="D5061:D5063" si="812">HYPERLINK("https://12go.asia/en/travel/OR-Tambo-International-Airport/Melrose-Arch", "12Go Link")</f>
        <v>12Go Link</v>
      </c>
      <c r="E5061" s="2" t="s">
        <v>191</v>
      </c>
    </row>
    <row r="5062">
      <c r="A5062" s="2" t="s">
        <v>4310</v>
      </c>
      <c r="B5062" s="2" t="s">
        <v>4812</v>
      </c>
      <c r="C5062" s="2" t="s">
        <v>4814</v>
      </c>
      <c r="D5062" s="3" t="str">
        <f t="shared" si="812"/>
        <v>12Go Link</v>
      </c>
      <c r="E5062" s="2" t="s">
        <v>192</v>
      </c>
    </row>
    <row r="5063">
      <c r="A5063" s="2" t="s">
        <v>4310</v>
      </c>
      <c r="B5063" s="2" t="s">
        <v>4812</v>
      </c>
      <c r="C5063" s="2" t="s">
        <v>4814</v>
      </c>
      <c r="D5063" s="3" t="str">
        <f t="shared" si="812"/>
        <v>12Go Link</v>
      </c>
      <c r="E5063" s="2" t="s">
        <v>193</v>
      </c>
    </row>
    <row r="5064">
      <c r="A5064" s="2" t="s">
        <v>4310</v>
      </c>
      <c r="B5064" s="2" t="s">
        <v>4812</v>
      </c>
      <c r="C5064" s="2" t="s">
        <v>4815</v>
      </c>
      <c r="D5064" s="3" t="str">
        <f t="shared" ref="D5064:D5066" si="813">HYPERLINK("https://12go.asia/en/travel/OR-Tambo-International-Airport/Parkmore-Transfer", "12Go Link")</f>
        <v>12Go Link</v>
      </c>
      <c r="E5064" s="2" t="s">
        <v>191</v>
      </c>
    </row>
    <row r="5065">
      <c r="A5065" s="2" t="s">
        <v>4310</v>
      </c>
      <c r="B5065" s="2" t="s">
        <v>4812</v>
      </c>
      <c r="C5065" s="2" t="s">
        <v>4815</v>
      </c>
      <c r="D5065" s="3" t="str">
        <f t="shared" si="813"/>
        <v>12Go Link</v>
      </c>
      <c r="E5065" s="2" t="s">
        <v>192</v>
      </c>
    </row>
    <row r="5066">
      <c r="A5066" s="2" t="s">
        <v>4310</v>
      </c>
      <c r="B5066" s="2" t="s">
        <v>4812</v>
      </c>
      <c r="C5066" s="2" t="s">
        <v>4815</v>
      </c>
      <c r="D5066" s="3" t="str">
        <f t="shared" si="813"/>
        <v>12Go Link</v>
      </c>
      <c r="E5066" s="2" t="s">
        <v>193</v>
      </c>
    </row>
    <row r="5067">
      <c r="A5067" s="2" t="s">
        <v>4310</v>
      </c>
      <c r="B5067" s="2" t="s">
        <v>4812</v>
      </c>
      <c r="C5067" s="2" t="s">
        <v>4816</v>
      </c>
      <c r="D5067" s="3" t="str">
        <f t="shared" ref="D5067:D5069" si="814">HYPERLINK("https://12go.asia/en/travel/OR-Tambo-International-Airport/Sandton-Transfer", "12Go Link")</f>
        <v>12Go Link</v>
      </c>
      <c r="E5067" s="2" t="s">
        <v>191</v>
      </c>
    </row>
    <row r="5068">
      <c r="A5068" s="2" t="s">
        <v>4310</v>
      </c>
      <c r="B5068" s="2" t="s">
        <v>4812</v>
      </c>
      <c r="C5068" s="2" t="s">
        <v>4816</v>
      </c>
      <c r="D5068" s="3" t="str">
        <f t="shared" si="814"/>
        <v>12Go Link</v>
      </c>
      <c r="E5068" s="2" t="s">
        <v>192</v>
      </c>
    </row>
    <row r="5069">
      <c r="A5069" s="2" t="s">
        <v>4310</v>
      </c>
      <c r="B5069" s="2" t="s">
        <v>4812</v>
      </c>
      <c r="C5069" s="2" t="s">
        <v>4816</v>
      </c>
      <c r="D5069" s="3" t="str">
        <f t="shared" si="814"/>
        <v>12Go Link</v>
      </c>
      <c r="E5069" s="2" t="s">
        <v>193</v>
      </c>
    </row>
    <row r="5070">
      <c r="A5070" s="2" t="s">
        <v>4310</v>
      </c>
      <c r="B5070" s="2" t="s">
        <v>4817</v>
      </c>
      <c r="C5070" s="2" t="s">
        <v>4818</v>
      </c>
      <c r="D5070" s="3" t="str">
        <f t="shared" ref="D5070:D5072" si="815">HYPERLINK("https://12go.asia/en/travel/OR-Tambo-International-Airport/Secunda-Transfer", "12Go Link")</f>
        <v>12Go Link</v>
      </c>
      <c r="E5070" s="2" t="s">
        <v>191</v>
      </c>
    </row>
    <row r="5071">
      <c r="A5071" s="2" t="s">
        <v>4310</v>
      </c>
      <c r="B5071" s="2" t="s">
        <v>4817</v>
      </c>
      <c r="C5071" s="2" t="s">
        <v>4818</v>
      </c>
      <c r="D5071" s="3" t="str">
        <f t="shared" si="815"/>
        <v>12Go Link</v>
      </c>
      <c r="E5071" s="2" t="s">
        <v>192</v>
      </c>
    </row>
    <row r="5072">
      <c r="A5072" s="2" t="s">
        <v>4310</v>
      </c>
      <c r="B5072" s="2" t="s">
        <v>4817</v>
      </c>
      <c r="C5072" s="2" t="s">
        <v>4818</v>
      </c>
      <c r="D5072" s="3" t="str">
        <f t="shared" si="815"/>
        <v>12Go Link</v>
      </c>
      <c r="E5072" s="2" t="s">
        <v>193</v>
      </c>
    </row>
    <row r="5073">
      <c r="A5073" s="2" t="s">
        <v>4310</v>
      </c>
      <c r="B5073" s="2" t="s">
        <v>4819</v>
      </c>
      <c r="C5073" s="2" t="s">
        <v>4820</v>
      </c>
      <c r="D5073" s="3" t="str">
        <f t="shared" ref="D5073:D5075" si="816">HYPERLINK("https://12go.asia/en/travel/OR-Tambo-International-Airport/Soweto-Transfer", "12Go Link")</f>
        <v>12Go Link</v>
      </c>
      <c r="E5073" s="2" t="s">
        <v>191</v>
      </c>
    </row>
    <row r="5074">
      <c r="A5074" s="2" t="s">
        <v>4310</v>
      </c>
      <c r="B5074" s="2" t="s">
        <v>4819</v>
      </c>
      <c r="C5074" s="2" t="s">
        <v>4820</v>
      </c>
      <c r="D5074" s="3" t="str">
        <f t="shared" si="816"/>
        <v>12Go Link</v>
      </c>
      <c r="E5074" s="2" t="s">
        <v>192</v>
      </c>
    </row>
    <row r="5075">
      <c r="A5075" s="2" t="s">
        <v>4310</v>
      </c>
      <c r="B5075" s="2" t="s">
        <v>4819</v>
      </c>
      <c r="C5075" s="2" t="s">
        <v>4820</v>
      </c>
      <c r="D5075" s="3" t="str">
        <f t="shared" si="816"/>
        <v>12Go Link</v>
      </c>
      <c r="E5075" s="2" t="s">
        <v>193</v>
      </c>
    </row>
    <row r="5076">
      <c r="A5076" s="2" t="s">
        <v>4310</v>
      </c>
      <c r="B5076" s="2" t="s">
        <v>4821</v>
      </c>
      <c r="C5076" s="2" t="s">
        <v>4822</v>
      </c>
      <c r="D5076" s="3" t="str">
        <f t="shared" ref="D5076:D5078" si="817">HYPERLINK("https://12go.asia/en/travel/OR-Tambo-International-Airport/Springs-Transfer", "12Go Link")</f>
        <v>12Go Link</v>
      </c>
      <c r="E5076" s="2" t="s">
        <v>191</v>
      </c>
    </row>
    <row r="5077">
      <c r="A5077" s="2" t="s">
        <v>4310</v>
      </c>
      <c r="B5077" s="2" t="s">
        <v>4821</v>
      </c>
      <c r="C5077" s="2" t="s">
        <v>4822</v>
      </c>
      <c r="D5077" s="3" t="str">
        <f t="shared" si="817"/>
        <v>12Go Link</v>
      </c>
      <c r="E5077" s="2" t="s">
        <v>192</v>
      </c>
    </row>
    <row r="5078">
      <c r="A5078" s="2" t="s">
        <v>4310</v>
      </c>
      <c r="B5078" s="2" t="s">
        <v>4821</v>
      </c>
      <c r="C5078" s="2" t="s">
        <v>4822</v>
      </c>
      <c r="D5078" s="3" t="str">
        <f t="shared" si="817"/>
        <v>12Go Link</v>
      </c>
      <c r="E5078" s="2" t="s">
        <v>193</v>
      </c>
    </row>
    <row r="5079">
      <c r="A5079" s="2" t="s">
        <v>4310</v>
      </c>
      <c r="B5079" s="2" t="s">
        <v>4823</v>
      </c>
      <c r="C5079" s="2" t="s">
        <v>4824</v>
      </c>
      <c r="D5079" s="3" t="str">
        <f t="shared" ref="D5079:D5081" si="818">HYPERLINK("https://12go.asia/en/travel/OR-Tambo-International-Airport/Sun-City-Resort", "12Go Link")</f>
        <v>12Go Link</v>
      </c>
      <c r="E5079" s="2" t="s">
        <v>191</v>
      </c>
    </row>
    <row r="5080">
      <c r="A5080" s="2" t="s">
        <v>4310</v>
      </c>
      <c r="B5080" s="2" t="s">
        <v>4823</v>
      </c>
      <c r="C5080" s="2" t="s">
        <v>4824</v>
      </c>
      <c r="D5080" s="3" t="str">
        <f t="shared" si="818"/>
        <v>12Go Link</v>
      </c>
      <c r="E5080" s="2" t="s">
        <v>192</v>
      </c>
    </row>
    <row r="5081">
      <c r="A5081" s="2" t="s">
        <v>4310</v>
      </c>
      <c r="B5081" s="2" t="s">
        <v>4823</v>
      </c>
      <c r="C5081" s="2" t="s">
        <v>4824</v>
      </c>
      <c r="D5081" s="3" t="str">
        <f t="shared" si="818"/>
        <v>12Go Link</v>
      </c>
      <c r="E5081" s="2" t="s">
        <v>193</v>
      </c>
    </row>
    <row r="5082">
      <c r="A5082" s="2" t="s">
        <v>4310</v>
      </c>
      <c r="B5082" s="2" t="s">
        <v>4825</v>
      </c>
      <c r="C5082" s="2" t="s">
        <v>4826</v>
      </c>
      <c r="D5082" s="3" t="str">
        <f t="shared" ref="D5082:D5084" si="819">HYPERLINK("https://12go.asia/en/travel/OR-Tambo-International-Airport/Ukutula-Lion-Park-Transfer", "12Go Link")</f>
        <v>12Go Link</v>
      </c>
      <c r="E5082" s="2" t="s">
        <v>191</v>
      </c>
    </row>
    <row r="5083">
      <c r="A5083" s="2" t="s">
        <v>4310</v>
      </c>
      <c r="B5083" s="2" t="s">
        <v>4825</v>
      </c>
      <c r="C5083" s="2" t="s">
        <v>4826</v>
      </c>
      <c r="D5083" s="3" t="str">
        <f t="shared" si="819"/>
        <v>12Go Link</v>
      </c>
      <c r="E5083" s="2" t="s">
        <v>192</v>
      </c>
    </row>
    <row r="5084">
      <c r="A5084" s="2" t="s">
        <v>4310</v>
      </c>
      <c r="B5084" s="2" t="s">
        <v>4825</v>
      </c>
      <c r="C5084" s="2" t="s">
        <v>4826</v>
      </c>
      <c r="D5084" s="3" t="str">
        <f t="shared" si="819"/>
        <v>12Go Link</v>
      </c>
      <c r="E5084" s="2" t="s">
        <v>193</v>
      </c>
    </row>
    <row r="5085">
      <c r="A5085" s="2" t="s">
        <v>4310</v>
      </c>
      <c r="B5085" s="2" t="s">
        <v>4827</v>
      </c>
      <c r="C5085" s="2" t="s">
        <v>4828</v>
      </c>
      <c r="D5085" s="3" t="str">
        <f t="shared" ref="D5085:D5087" si="820">HYPERLINK("https://12go.asia/en/travel/OR-Tambo-International-Airport/Vanderbijlpark-Transfer", "12Go Link")</f>
        <v>12Go Link</v>
      </c>
      <c r="E5085" s="2" t="s">
        <v>191</v>
      </c>
    </row>
    <row r="5086">
      <c r="A5086" s="2" t="s">
        <v>4310</v>
      </c>
      <c r="B5086" s="2" t="s">
        <v>4827</v>
      </c>
      <c r="C5086" s="2" t="s">
        <v>4828</v>
      </c>
      <c r="D5086" s="3" t="str">
        <f t="shared" si="820"/>
        <v>12Go Link</v>
      </c>
      <c r="E5086" s="2" t="s">
        <v>192</v>
      </c>
    </row>
    <row r="5087">
      <c r="A5087" s="2" t="s">
        <v>4310</v>
      </c>
      <c r="B5087" s="2" t="s">
        <v>4827</v>
      </c>
      <c r="C5087" s="2" t="s">
        <v>4828</v>
      </c>
      <c r="D5087" s="3" t="str">
        <f t="shared" si="820"/>
        <v>12Go Link</v>
      </c>
      <c r="E5087" s="2" t="s">
        <v>193</v>
      </c>
    </row>
    <row r="5088">
      <c r="A5088" s="2" t="s">
        <v>4310</v>
      </c>
      <c r="B5088" s="2" t="s">
        <v>4829</v>
      </c>
      <c r="C5088" s="2" t="s">
        <v>4830</v>
      </c>
      <c r="D5088" s="3" t="str">
        <f t="shared" ref="D5088:D5090" si="821">HYPERLINK("https://12go.asia/en/travel/OR-Tambo-International-Airport/Wakkerstroom-Transfer", "12Go Link")</f>
        <v>12Go Link</v>
      </c>
      <c r="E5088" s="2" t="s">
        <v>191</v>
      </c>
    </row>
    <row r="5089">
      <c r="A5089" s="2" t="s">
        <v>4310</v>
      </c>
      <c r="B5089" s="2" t="s">
        <v>4829</v>
      </c>
      <c r="C5089" s="2" t="s">
        <v>4830</v>
      </c>
      <c r="D5089" s="3" t="str">
        <f t="shared" si="821"/>
        <v>12Go Link</v>
      </c>
      <c r="E5089" s="2" t="s">
        <v>192</v>
      </c>
    </row>
    <row r="5090">
      <c r="A5090" s="2" t="s">
        <v>4310</v>
      </c>
      <c r="B5090" s="2" t="s">
        <v>4829</v>
      </c>
      <c r="C5090" s="2" t="s">
        <v>4830</v>
      </c>
      <c r="D5090" s="3" t="str">
        <f t="shared" si="821"/>
        <v>12Go Link</v>
      </c>
      <c r="E5090" s="2" t="s">
        <v>193</v>
      </c>
    </row>
    <row r="5091">
      <c r="A5091" s="2" t="s">
        <v>4310</v>
      </c>
      <c r="B5091" s="2" t="s">
        <v>4831</v>
      </c>
      <c r="C5091" s="2" t="s">
        <v>4832</v>
      </c>
      <c r="D5091" s="3" t="str">
        <f t="shared" ref="D5091:D5093" si="822">HYPERLINK("https://12go.asia/en/travel/OR-Tambo-International-Airport/Waterval-Boven-Transfer", "12Go Link")</f>
        <v>12Go Link</v>
      </c>
      <c r="E5091" s="2" t="s">
        <v>191</v>
      </c>
    </row>
    <row r="5092">
      <c r="A5092" s="2" t="s">
        <v>4310</v>
      </c>
      <c r="B5092" s="2" t="s">
        <v>4831</v>
      </c>
      <c r="C5092" s="2" t="s">
        <v>4832</v>
      </c>
      <c r="D5092" s="3" t="str">
        <f t="shared" si="822"/>
        <v>12Go Link</v>
      </c>
      <c r="E5092" s="2" t="s">
        <v>192</v>
      </c>
    </row>
    <row r="5093">
      <c r="A5093" s="2" t="s">
        <v>4310</v>
      </c>
      <c r="B5093" s="2" t="s">
        <v>4831</v>
      </c>
      <c r="C5093" s="2" t="s">
        <v>4832</v>
      </c>
      <c r="D5093" s="3" t="str">
        <f t="shared" si="822"/>
        <v>12Go Link</v>
      </c>
      <c r="E5093" s="2" t="s">
        <v>193</v>
      </c>
    </row>
    <row r="5094">
      <c r="A5094" s="2" t="s">
        <v>4310</v>
      </c>
      <c r="B5094" s="2" t="s">
        <v>4833</v>
      </c>
      <c r="C5094" s="2" t="s">
        <v>4834</v>
      </c>
      <c r="D5094" s="3" t="str">
        <f t="shared" ref="D5094:D5096" si="823">HYPERLINK("https://12go.asia/en/travel/OR-Tambo-International-Airport/White-River-Transfer", "12Go Link")</f>
        <v>12Go Link</v>
      </c>
      <c r="E5094" s="2" t="s">
        <v>191</v>
      </c>
    </row>
    <row r="5095">
      <c r="A5095" s="2" t="s">
        <v>4310</v>
      </c>
      <c r="B5095" s="2" t="s">
        <v>4833</v>
      </c>
      <c r="C5095" s="2" t="s">
        <v>4834</v>
      </c>
      <c r="D5095" s="3" t="str">
        <f t="shared" si="823"/>
        <v>12Go Link</v>
      </c>
      <c r="E5095" s="2" t="s">
        <v>192</v>
      </c>
    </row>
    <row r="5096">
      <c r="A5096" s="2" t="s">
        <v>4310</v>
      </c>
      <c r="B5096" s="2" t="s">
        <v>4833</v>
      </c>
      <c r="C5096" s="2" t="s">
        <v>4834</v>
      </c>
      <c r="D5096" s="3" t="str">
        <f t="shared" si="823"/>
        <v>12Go Link</v>
      </c>
      <c r="E5096" s="2" t="s">
        <v>193</v>
      </c>
    </row>
    <row r="5097">
      <c r="A5097" s="2" t="s">
        <v>4749</v>
      </c>
      <c r="B5097" s="2" t="s">
        <v>4310</v>
      </c>
      <c r="C5097" s="2" t="s">
        <v>4835</v>
      </c>
      <c r="D5097" s="3" t="str">
        <f t="shared" ref="D5097:D5099" si="824">HYPERLINK("https://12go.asia/en/travel/Kaapsche-Hoop-Transfer/OR-Tambo-International-Airport", "12Go Link")</f>
        <v>12Go Link</v>
      </c>
      <c r="E5097" s="2" t="s">
        <v>191</v>
      </c>
    </row>
    <row r="5098">
      <c r="A5098" s="2" t="s">
        <v>4749</v>
      </c>
      <c r="B5098" s="2" t="s">
        <v>4310</v>
      </c>
      <c r="C5098" s="2" t="s">
        <v>4835</v>
      </c>
      <c r="D5098" s="3" t="str">
        <f t="shared" si="824"/>
        <v>12Go Link</v>
      </c>
      <c r="E5098" s="2" t="s">
        <v>192</v>
      </c>
    </row>
    <row r="5099">
      <c r="A5099" s="2" t="s">
        <v>4749</v>
      </c>
      <c r="B5099" s="2" t="s">
        <v>4310</v>
      </c>
      <c r="C5099" s="2" t="s">
        <v>4835</v>
      </c>
      <c r="D5099" s="3" t="str">
        <f t="shared" si="824"/>
        <v>12Go Link</v>
      </c>
      <c r="E5099" s="2" t="s">
        <v>193</v>
      </c>
    </row>
    <row r="5100">
      <c r="A5100" s="2" t="s">
        <v>4751</v>
      </c>
      <c r="B5100" s="2" t="s">
        <v>4310</v>
      </c>
      <c r="C5100" s="2" t="s">
        <v>4836</v>
      </c>
      <c r="D5100" s="3" t="str">
        <f t="shared" ref="D5100:D5102" si="825">HYPERLINK("https://12go.asia/en/travel/Birch-Acres-Transfer/OR-Tambo-International-Airport", "12Go Link")</f>
        <v>12Go Link</v>
      </c>
      <c r="E5100" s="2" t="s">
        <v>191</v>
      </c>
    </row>
    <row r="5101">
      <c r="A5101" s="2" t="s">
        <v>4751</v>
      </c>
      <c r="B5101" s="2" t="s">
        <v>4310</v>
      </c>
      <c r="C5101" s="2" t="s">
        <v>4836</v>
      </c>
      <c r="D5101" s="3" t="str">
        <f t="shared" si="825"/>
        <v>12Go Link</v>
      </c>
      <c r="E5101" s="2" t="s">
        <v>192</v>
      </c>
    </row>
    <row r="5102">
      <c r="A5102" s="2" t="s">
        <v>4751</v>
      </c>
      <c r="B5102" s="2" t="s">
        <v>4310</v>
      </c>
      <c r="C5102" s="2" t="s">
        <v>4836</v>
      </c>
      <c r="D5102" s="3" t="str">
        <f t="shared" si="825"/>
        <v>12Go Link</v>
      </c>
      <c r="E5102" s="2" t="s">
        <v>193</v>
      </c>
    </row>
    <row r="5103">
      <c r="A5103" s="2" t="s">
        <v>4751</v>
      </c>
      <c r="B5103" s="2" t="s">
        <v>4310</v>
      </c>
      <c r="C5103" s="2" t="s">
        <v>4837</v>
      </c>
      <c r="D5103" s="3" t="str">
        <f t="shared" ref="D5103:D5105" si="826">HYPERLINK("https://12go.asia/en/travel/Birchleigh-Transfer/OR-Tambo-International-Airport", "12Go Link")</f>
        <v>12Go Link</v>
      </c>
      <c r="E5103" s="2" t="s">
        <v>191</v>
      </c>
    </row>
    <row r="5104">
      <c r="A5104" s="2" t="s">
        <v>4751</v>
      </c>
      <c r="B5104" s="2" t="s">
        <v>4310</v>
      </c>
      <c r="C5104" s="2" t="s">
        <v>4837</v>
      </c>
      <c r="D5104" s="3" t="str">
        <f t="shared" si="826"/>
        <v>12Go Link</v>
      </c>
      <c r="E5104" s="2" t="s">
        <v>192</v>
      </c>
    </row>
    <row r="5105">
      <c r="A5105" s="2" t="s">
        <v>4751</v>
      </c>
      <c r="B5105" s="2" t="s">
        <v>4310</v>
      </c>
      <c r="C5105" s="2" t="s">
        <v>4837</v>
      </c>
      <c r="D5105" s="3" t="str">
        <f t="shared" si="826"/>
        <v>12Go Link</v>
      </c>
      <c r="E5105" s="2" t="s">
        <v>193</v>
      </c>
    </row>
    <row r="5106">
      <c r="A5106" s="2" t="s">
        <v>4754</v>
      </c>
      <c r="B5106" s="2" t="s">
        <v>4310</v>
      </c>
      <c r="C5106" s="2" t="s">
        <v>4838</v>
      </c>
      <c r="D5106" s="3" t="str">
        <f t="shared" ref="D5106:D5108" si="827">HYPERLINK("https://12go.asia/en/travel/Kinross-Transfer/OR-Tambo-International-Airport", "12Go Link")</f>
        <v>12Go Link</v>
      </c>
      <c r="E5106" s="2" t="s">
        <v>191</v>
      </c>
    </row>
    <row r="5107">
      <c r="A5107" s="2" t="s">
        <v>4754</v>
      </c>
      <c r="B5107" s="2" t="s">
        <v>4310</v>
      </c>
      <c r="C5107" s="2" t="s">
        <v>4838</v>
      </c>
      <c r="D5107" s="3" t="str">
        <f t="shared" si="827"/>
        <v>12Go Link</v>
      </c>
      <c r="E5107" s="2" t="s">
        <v>192</v>
      </c>
    </row>
    <row r="5108">
      <c r="A5108" s="2" t="s">
        <v>4754</v>
      </c>
      <c r="B5108" s="2" t="s">
        <v>4310</v>
      </c>
      <c r="C5108" s="2" t="s">
        <v>4838</v>
      </c>
      <c r="D5108" s="3" t="str">
        <f t="shared" si="827"/>
        <v>12Go Link</v>
      </c>
      <c r="E5108" s="2" t="s">
        <v>193</v>
      </c>
    </row>
    <row r="5109">
      <c r="A5109" s="2" t="s">
        <v>4464</v>
      </c>
      <c r="B5109" s="2" t="s">
        <v>4331</v>
      </c>
      <c r="C5109" s="2" t="s">
        <v>4839</v>
      </c>
      <c r="D5109" s="3" t="str">
        <f t="shared" ref="D5109:D5111" si="828">HYPERLINK("https://12go.asia/en/travel/Kleinmond-Transfer/Cape-Town-International-Airport", "12Go Link")</f>
        <v>12Go Link</v>
      </c>
      <c r="E5109" s="2" t="s">
        <v>191</v>
      </c>
    </row>
    <row r="5110">
      <c r="A5110" s="2" t="s">
        <v>4464</v>
      </c>
      <c r="B5110" s="2" t="s">
        <v>4331</v>
      </c>
      <c r="C5110" s="2" t="s">
        <v>4839</v>
      </c>
      <c r="D5110" s="3" t="str">
        <f t="shared" si="828"/>
        <v>12Go Link</v>
      </c>
      <c r="E5110" s="2" t="s">
        <v>192</v>
      </c>
    </row>
    <row r="5111">
      <c r="A5111" s="2" t="s">
        <v>4464</v>
      </c>
      <c r="B5111" s="2" t="s">
        <v>4331</v>
      </c>
      <c r="C5111" s="2" t="s">
        <v>4839</v>
      </c>
      <c r="D5111" s="3" t="str">
        <f t="shared" si="828"/>
        <v>12Go Link</v>
      </c>
      <c r="E5111" s="2" t="s">
        <v>193</v>
      </c>
    </row>
    <row r="5112">
      <c r="A5112" s="2" t="s">
        <v>4466</v>
      </c>
      <c r="B5112" s="2" t="s">
        <v>4331</v>
      </c>
      <c r="C5112" s="2" t="s">
        <v>4840</v>
      </c>
      <c r="D5112" s="3" t="str">
        <f t="shared" ref="D5112:D5114" si="829">HYPERLINK("https://12go.asia/en/travel/Knysna-Transfer/Cape-Town-International-Airport", "12Go Link")</f>
        <v>12Go Link</v>
      </c>
      <c r="E5112" s="2" t="s">
        <v>191</v>
      </c>
    </row>
    <row r="5113">
      <c r="A5113" s="2" t="s">
        <v>4466</v>
      </c>
      <c r="B5113" s="2" t="s">
        <v>4331</v>
      </c>
      <c r="C5113" s="2" t="s">
        <v>4840</v>
      </c>
      <c r="D5113" s="3" t="str">
        <f t="shared" si="829"/>
        <v>12Go Link</v>
      </c>
      <c r="E5113" s="2" t="s">
        <v>192</v>
      </c>
    </row>
    <row r="5114">
      <c r="A5114" s="2" t="s">
        <v>4466</v>
      </c>
      <c r="B5114" s="2" t="s">
        <v>4331</v>
      </c>
      <c r="C5114" s="2" t="s">
        <v>4840</v>
      </c>
      <c r="D5114" s="3" t="str">
        <f t="shared" si="829"/>
        <v>12Go Link</v>
      </c>
      <c r="E5114" s="2" t="s">
        <v>193</v>
      </c>
    </row>
    <row r="5115">
      <c r="A5115" s="2" t="s">
        <v>4756</v>
      </c>
      <c r="B5115" s="2" t="s">
        <v>4310</v>
      </c>
      <c r="C5115" s="2" t="s">
        <v>4841</v>
      </c>
      <c r="D5115" s="3" t="str">
        <f t="shared" ref="D5115:D5117" si="830">HYPERLINK("https://12go.asia/en/travel/Komatipoort-Transfer/OR-Tambo-International-Airport", "12Go Link")</f>
        <v>12Go Link</v>
      </c>
      <c r="E5115" s="2" t="s">
        <v>191</v>
      </c>
    </row>
    <row r="5116">
      <c r="A5116" s="2" t="s">
        <v>4756</v>
      </c>
      <c r="B5116" s="2" t="s">
        <v>4310</v>
      </c>
      <c r="C5116" s="2" t="s">
        <v>4841</v>
      </c>
      <c r="D5116" s="3" t="str">
        <f t="shared" si="830"/>
        <v>12Go Link</v>
      </c>
      <c r="E5116" s="2" t="s">
        <v>192</v>
      </c>
    </row>
    <row r="5117">
      <c r="A5117" s="2" t="s">
        <v>4756</v>
      </c>
      <c r="B5117" s="2" t="s">
        <v>4310</v>
      </c>
      <c r="C5117" s="2" t="s">
        <v>4841</v>
      </c>
      <c r="D5117" s="3" t="str">
        <f t="shared" si="830"/>
        <v>12Go Link</v>
      </c>
      <c r="E5117" s="2" t="s">
        <v>193</v>
      </c>
    </row>
    <row r="5118">
      <c r="A5118" s="2" t="s">
        <v>4758</v>
      </c>
      <c r="B5118" s="2" t="s">
        <v>4310</v>
      </c>
      <c r="C5118" s="2" t="s">
        <v>4842</v>
      </c>
      <c r="D5118" s="3" t="str">
        <f t="shared" ref="D5118:D5120" si="831">HYPERLINK("https://12go.asia/en/travel/Kruger-National-Park-Transfer/OR-Tambo-International-Airport", "12Go Link")</f>
        <v>12Go Link</v>
      </c>
      <c r="E5118" s="2" t="s">
        <v>191</v>
      </c>
    </row>
    <row r="5119">
      <c r="A5119" s="2" t="s">
        <v>4758</v>
      </c>
      <c r="B5119" s="2" t="s">
        <v>4310</v>
      </c>
      <c r="C5119" s="2" t="s">
        <v>4842</v>
      </c>
      <c r="D5119" s="3" t="str">
        <f t="shared" si="831"/>
        <v>12Go Link</v>
      </c>
      <c r="E5119" s="2" t="s">
        <v>192</v>
      </c>
    </row>
    <row r="5120">
      <c r="A5120" s="2" t="s">
        <v>4758</v>
      </c>
      <c r="B5120" s="2" t="s">
        <v>4310</v>
      </c>
      <c r="C5120" s="2" t="s">
        <v>4842</v>
      </c>
      <c r="D5120" s="3" t="str">
        <f t="shared" si="831"/>
        <v>12Go Link</v>
      </c>
      <c r="E5120" s="2" t="s">
        <v>193</v>
      </c>
    </row>
    <row r="5121">
      <c r="A5121" s="2" t="s">
        <v>4760</v>
      </c>
      <c r="B5121" s="2" t="s">
        <v>4310</v>
      </c>
      <c r="C5121" s="2" t="s">
        <v>4843</v>
      </c>
      <c r="D5121" s="3" t="str">
        <f t="shared" ref="D5121:D5123" si="832">HYPERLINK("https://12go.asia/en/travel/Krugersdrop-Transfer/OR-Tambo-International-Airport", "12Go Link")</f>
        <v>12Go Link</v>
      </c>
      <c r="E5121" s="2" t="s">
        <v>191</v>
      </c>
    </row>
    <row r="5122">
      <c r="A5122" s="2" t="s">
        <v>4760</v>
      </c>
      <c r="B5122" s="2" t="s">
        <v>4310</v>
      </c>
      <c r="C5122" s="2" t="s">
        <v>4843</v>
      </c>
      <c r="D5122" s="3" t="str">
        <f t="shared" si="832"/>
        <v>12Go Link</v>
      </c>
      <c r="E5122" s="2" t="s">
        <v>192</v>
      </c>
    </row>
    <row r="5123">
      <c r="A5123" s="2" t="s">
        <v>4760</v>
      </c>
      <c r="B5123" s="2" t="s">
        <v>4310</v>
      </c>
      <c r="C5123" s="2" t="s">
        <v>4843</v>
      </c>
      <c r="D5123" s="3" t="str">
        <f t="shared" si="832"/>
        <v>12Go Link</v>
      </c>
      <c r="E5123" s="2" t="s">
        <v>193</v>
      </c>
    </row>
    <row r="5124">
      <c r="A5124" s="2" t="s">
        <v>4760</v>
      </c>
      <c r="B5124" s="2" t="s">
        <v>4310</v>
      </c>
      <c r="C5124" s="2" t="s">
        <v>4844</v>
      </c>
      <c r="D5124" s="3" t="str">
        <f t="shared" ref="D5124:D5126" si="833">HYPERLINK("https://12go.asia/en/travel/Muldersdrift-Transfer/OR-Tambo-International-Airport", "12Go Link")</f>
        <v>12Go Link</v>
      </c>
      <c r="E5124" s="2" t="s">
        <v>191</v>
      </c>
    </row>
    <row r="5125">
      <c r="A5125" s="2" t="s">
        <v>4760</v>
      </c>
      <c r="B5125" s="2" t="s">
        <v>4310</v>
      </c>
      <c r="C5125" s="2" t="s">
        <v>4844</v>
      </c>
      <c r="D5125" s="3" t="str">
        <f t="shared" si="833"/>
        <v>12Go Link</v>
      </c>
      <c r="E5125" s="2" t="s">
        <v>192</v>
      </c>
    </row>
    <row r="5126">
      <c r="A5126" s="2" t="s">
        <v>4760</v>
      </c>
      <c r="B5126" s="2" t="s">
        <v>4310</v>
      </c>
      <c r="C5126" s="2" t="s">
        <v>4844</v>
      </c>
      <c r="D5126" s="3" t="str">
        <f t="shared" si="833"/>
        <v>12Go Link</v>
      </c>
      <c r="E5126" s="2" t="s">
        <v>193</v>
      </c>
    </row>
    <row r="5127">
      <c r="A5127" s="2" t="s">
        <v>4763</v>
      </c>
      <c r="B5127" s="2" t="s">
        <v>4310</v>
      </c>
      <c r="C5127" s="2" t="s">
        <v>4845</v>
      </c>
      <c r="D5127" s="3" t="str">
        <f t="shared" ref="D5127:D5129" si="834">HYPERLINK("https://12go.asia/en/travel/Kwaggafontein-Transfer/OR-Tambo-International-Airport", "12Go Link")</f>
        <v>12Go Link</v>
      </c>
      <c r="E5127" s="2" t="s">
        <v>191</v>
      </c>
    </row>
    <row r="5128">
      <c r="A5128" s="2" t="s">
        <v>4763</v>
      </c>
      <c r="B5128" s="2" t="s">
        <v>4310</v>
      </c>
      <c r="C5128" s="2" t="s">
        <v>4845</v>
      </c>
      <c r="D5128" s="3" t="str">
        <f t="shared" si="834"/>
        <v>12Go Link</v>
      </c>
      <c r="E5128" s="2" t="s">
        <v>192</v>
      </c>
    </row>
    <row r="5129">
      <c r="A5129" s="2" t="s">
        <v>4763</v>
      </c>
      <c r="B5129" s="2" t="s">
        <v>4310</v>
      </c>
      <c r="C5129" s="2" t="s">
        <v>4845</v>
      </c>
      <c r="D5129" s="3" t="str">
        <f t="shared" si="834"/>
        <v>12Go Link</v>
      </c>
      <c r="E5129" s="2" t="s">
        <v>193</v>
      </c>
    </row>
    <row r="5130">
      <c r="A5130" s="2" t="s">
        <v>4531</v>
      </c>
      <c r="B5130" s="2" t="s">
        <v>4319</v>
      </c>
      <c r="C5130" s="2" t="s">
        <v>4846</v>
      </c>
      <c r="D5130" s="3" t="str">
        <f t="shared" ref="D5130:D5132" si="835">HYPERLINK("https://12go.asia/en/travel/KwaMashu-Transfer/Durban-International-Airport", "12Go Link")</f>
        <v>12Go Link</v>
      </c>
      <c r="E5130" s="2" t="s">
        <v>191</v>
      </c>
    </row>
    <row r="5131">
      <c r="A5131" s="2" t="s">
        <v>4531</v>
      </c>
      <c r="B5131" s="2" t="s">
        <v>4319</v>
      </c>
      <c r="C5131" s="2" t="s">
        <v>4846</v>
      </c>
      <c r="D5131" s="3" t="str">
        <f t="shared" si="835"/>
        <v>12Go Link</v>
      </c>
      <c r="E5131" s="2" t="s">
        <v>192</v>
      </c>
    </row>
    <row r="5132">
      <c r="A5132" s="2" t="s">
        <v>4531</v>
      </c>
      <c r="B5132" s="2" t="s">
        <v>4319</v>
      </c>
      <c r="C5132" s="2" t="s">
        <v>4846</v>
      </c>
      <c r="D5132" s="3" t="str">
        <f t="shared" si="835"/>
        <v>12Go Link</v>
      </c>
      <c r="E5132" s="2" t="s">
        <v>193</v>
      </c>
    </row>
    <row r="5133">
      <c r="A5133" s="2" t="s">
        <v>4765</v>
      </c>
      <c r="B5133" s="2" t="s">
        <v>4310</v>
      </c>
      <c r="C5133" s="2" t="s">
        <v>4847</v>
      </c>
      <c r="D5133" s="3" t="str">
        <f t="shared" ref="D5133:D5135" si="836">HYPERLINK("https://12go.asia/en/travel/KwaMhlanga-Transfer/OR-Tambo-International-Airport", "12Go Link")</f>
        <v>12Go Link</v>
      </c>
      <c r="E5133" s="2" t="s">
        <v>191</v>
      </c>
    </row>
    <row r="5134">
      <c r="A5134" s="2" t="s">
        <v>4765</v>
      </c>
      <c r="B5134" s="2" t="s">
        <v>4310</v>
      </c>
      <c r="C5134" s="2" t="s">
        <v>4847</v>
      </c>
      <c r="D5134" s="3" t="str">
        <f t="shared" si="836"/>
        <v>12Go Link</v>
      </c>
      <c r="E5134" s="2" t="s">
        <v>192</v>
      </c>
    </row>
    <row r="5135">
      <c r="A5135" s="2" t="s">
        <v>4765</v>
      </c>
      <c r="B5135" s="2" t="s">
        <v>4310</v>
      </c>
      <c r="C5135" s="2" t="s">
        <v>4847</v>
      </c>
      <c r="D5135" s="3" t="str">
        <f t="shared" si="836"/>
        <v>12Go Link</v>
      </c>
      <c r="E5135" s="2" t="s">
        <v>193</v>
      </c>
    </row>
    <row r="5136">
      <c r="A5136" s="2" t="s">
        <v>4468</v>
      </c>
      <c r="B5136" s="2" t="s">
        <v>4331</v>
      </c>
      <c r="C5136" s="2" t="s">
        <v>4848</v>
      </c>
      <c r="D5136" s="3" t="str">
        <f t="shared" ref="D5136:D5138" si="837">HYPERLINK("https://12go.asia/en/travel/Langebaan-Transfer/Cape-Town-International-Airport", "12Go Link")</f>
        <v>12Go Link</v>
      </c>
      <c r="E5136" s="2" t="s">
        <v>191</v>
      </c>
    </row>
    <row r="5137">
      <c r="A5137" s="2" t="s">
        <v>4468</v>
      </c>
      <c r="B5137" s="2" t="s">
        <v>4331</v>
      </c>
      <c r="C5137" s="2" t="s">
        <v>4848</v>
      </c>
      <c r="D5137" s="3" t="str">
        <f t="shared" si="837"/>
        <v>12Go Link</v>
      </c>
      <c r="E5137" s="2" t="s">
        <v>192</v>
      </c>
    </row>
    <row r="5138">
      <c r="A5138" s="2" t="s">
        <v>4468</v>
      </c>
      <c r="B5138" s="2" t="s">
        <v>4331</v>
      </c>
      <c r="C5138" s="2" t="s">
        <v>4848</v>
      </c>
      <c r="D5138" s="3" t="str">
        <f t="shared" si="837"/>
        <v>12Go Link</v>
      </c>
      <c r="E5138" s="2" t="s">
        <v>193</v>
      </c>
    </row>
    <row r="5139">
      <c r="A5139" s="2" t="s">
        <v>4767</v>
      </c>
      <c r="B5139" s="2" t="s">
        <v>4310</v>
      </c>
      <c r="C5139" s="2" t="s">
        <v>4849</v>
      </c>
      <c r="D5139" s="3" t="str">
        <f t="shared" ref="D5139:D5141" si="838">HYPERLINK("https://12go.asia/en/travel/Loopspruit-Transfer/OR-Tambo-International-Airport", "12Go Link")</f>
        <v>12Go Link</v>
      </c>
      <c r="E5139" s="2" t="s">
        <v>191</v>
      </c>
    </row>
    <row r="5140">
      <c r="A5140" s="2" t="s">
        <v>4767</v>
      </c>
      <c r="B5140" s="2" t="s">
        <v>4310</v>
      </c>
      <c r="C5140" s="2" t="s">
        <v>4849</v>
      </c>
      <c r="D5140" s="3" t="str">
        <f t="shared" si="838"/>
        <v>12Go Link</v>
      </c>
      <c r="E5140" s="2" t="s">
        <v>192</v>
      </c>
    </row>
    <row r="5141">
      <c r="A5141" s="2" t="s">
        <v>4767</v>
      </c>
      <c r="B5141" s="2" t="s">
        <v>4310</v>
      </c>
      <c r="C5141" s="2" t="s">
        <v>4849</v>
      </c>
      <c r="D5141" s="3" t="str">
        <f t="shared" si="838"/>
        <v>12Go Link</v>
      </c>
      <c r="E5141" s="2" t="s">
        <v>193</v>
      </c>
    </row>
    <row r="5142">
      <c r="A5142" s="2" t="s">
        <v>4769</v>
      </c>
      <c r="B5142" s="2" t="s">
        <v>4310</v>
      </c>
      <c r="C5142" s="2" t="s">
        <v>4850</v>
      </c>
      <c r="D5142" s="3" t="str">
        <f t="shared" ref="D5142:D5144" si="839">HYPERLINK("https://12go.asia/en/travel/Machadadorp-Hotel-Transfer/OR-Tambo-International-Airport", "12Go Link")</f>
        <v>12Go Link</v>
      </c>
      <c r="E5142" s="2" t="s">
        <v>191</v>
      </c>
    </row>
    <row r="5143">
      <c r="A5143" s="2" t="s">
        <v>4769</v>
      </c>
      <c r="B5143" s="2" t="s">
        <v>4310</v>
      </c>
      <c r="C5143" s="2" t="s">
        <v>4850</v>
      </c>
      <c r="D5143" s="3" t="str">
        <f t="shared" si="839"/>
        <v>12Go Link</v>
      </c>
      <c r="E5143" s="2" t="s">
        <v>192</v>
      </c>
    </row>
    <row r="5144">
      <c r="A5144" s="2" t="s">
        <v>4769</v>
      </c>
      <c r="B5144" s="2" t="s">
        <v>4310</v>
      </c>
      <c r="C5144" s="2" t="s">
        <v>4850</v>
      </c>
      <c r="D5144" s="3" t="str">
        <f t="shared" si="839"/>
        <v>12Go Link</v>
      </c>
      <c r="E5144" s="2" t="s">
        <v>193</v>
      </c>
    </row>
    <row r="5145">
      <c r="A5145" s="2" t="s">
        <v>4771</v>
      </c>
      <c r="B5145" s="2" t="s">
        <v>4310</v>
      </c>
      <c r="C5145" s="2" t="s">
        <v>4851</v>
      </c>
      <c r="D5145" s="3" t="str">
        <f t="shared" ref="D5145:D5147" si="840">HYPERLINK("https://12go.asia/en/travel/Madhikwe-Game-Reserve-Transfer/OR-Tambo-International-Airport", "12Go Link")</f>
        <v>12Go Link</v>
      </c>
      <c r="E5145" s="2" t="s">
        <v>191</v>
      </c>
    </row>
    <row r="5146">
      <c r="A5146" s="2" t="s">
        <v>4771</v>
      </c>
      <c r="B5146" s="2" t="s">
        <v>4310</v>
      </c>
      <c r="C5146" s="2" t="s">
        <v>4851</v>
      </c>
      <c r="D5146" s="3" t="str">
        <f t="shared" si="840"/>
        <v>12Go Link</v>
      </c>
      <c r="E5146" s="2" t="s">
        <v>192</v>
      </c>
    </row>
    <row r="5147">
      <c r="A5147" s="2" t="s">
        <v>4771</v>
      </c>
      <c r="B5147" s="2" t="s">
        <v>4310</v>
      </c>
      <c r="C5147" s="2" t="s">
        <v>4851</v>
      </c>
      <c r="D5147" s="3" t="str">
        <f t="shared" si="840"/>
        <v>12Go Link</v>
      </c>
      <c r="E5147" s="2" t="s">
        <v>193</v>
      </c>
    </row>
    <row r="5148">
      <c r="A5148" s="2" t="s">
        <v>4773</v>
      </c>
      <c r="B5148" s="2" t="s">
        <v>4310</v>
      </c>
      <c r="C5148" s="2" t="s">
        <v>4852</v>
      </c>
      <c r="D5148" s="3" t="str">
        <f t="shared" ref="D5148:D5150" si="841">HYPERLINK("https://12go.asia/en/travel/Malelane-Transfer/OR-Tambo-International-Airport", "12Go Link")</f>
        <v>12Go Link</v>
      </c>
      <c r="E5148" s="2" t="s">
        <v>191</v>
      </c>
    </row>
    <row r="5149">
      <c r="A5149" s="2" t="s">
        <v>4773</v>
      </c>
      <c r="B5149" s="2" t="s">
        <v>4310</v>
      </c>
      <c r="C5149" s="2" t="s">
        <v>4852</v>
      </c>
      <c r="D5149" s="3" t="str">
        <f t="shared" si="841"/>
        <v>12Go Link</v>
      </c>
      <c r="E5149" s="2" t="s">
        <v>192</v>
      </c>
    </row>
    <row r="5150">
      <c r="A5150" s="2" t="s">
        <v>4773</v>
      </c>
      <c r="B5150" s="2" t="s">
        <v>4310</v>
      </c>
      <c r="C5150" s="2" t="s">
        <v>4852</v>
      </c>
      <c r="D5150" s="3" t="str">
        <f t="shared" si="841"/>
        <v>12Go Link</v>
      </c>
      <c r="E5150" s="2" t="s">
        <v>193</v>
      </c>
    </row>
    <row r="5151">
      <c r="A5151" s="2" t="s">
        <v>4533</v>
      </c>
      <c r="B5151" s="2" t="s">
        <v>4319</v>
      </c>
      <c r="C5151" s="2" t="s">
        <v>4853</v>
      </c>
      <c r="D5151" s="3" t="str">
        <f t="shared" ref="D5151:D5153" si="842">HYPERLINK("https://12go.asia/en/travel/Ukhahlamba-Drakensberg-Park-Transfer/Durban-International-Airport", "12Go Link")</f>
        <v>12Go Link</v>
      </c>
      <c r="E5151" s="2" t="s">
        <v>191</v>
      </c>
    </row>
    <row r="5152">
      <c r="A5152" s="2" t="s">
        <v>4533</v>
      </c>
      <c r="B5152" s="2" t="s">
        <v>4319</v>
      </c>
      <c r="C5152" s="2" t="s">
        <v>4853</v>
      </c>
      <c r="D5152" s="3" t="str">
        <f t="shared" si="842"/>
        <v>12Go Link</v>
      </c>
      <c r="E5152" s="2" t="s">
        <v>192</v>
      </c>
    </row>
    <row r="5153">
      <c r="A5153" s="2" t="s">
        <v>4533</v>
      </c>
      <c r="B5153" s="2" t="s">
        <v>4319</v>
      </c>
      <c r="C5153" s="2" t="s">
        <v>4853</v>
      </c>
      <c r="D5153" s="3" t="str">
        <f t="shared" si="842"/>
        <v>12Go Link</v>
      </c>
      <c r="E5153" s="2" t="s">
        <v>193</v>
      </c>
    </row>
    <row r="5154">
      <c r="A5154" s="2" t="s">
        <v>4775</v>
      </c>
      <c r="B5154" s="2" t="s">
        <v>4310</v>
      </c>
      <c r="C5154" s="2" t="s">
        <v>4854</v>
      </c>
      <c r="D5154" s="3" t="str">
        <f t="shared" ref="D5154:D5156" si="843">HYPERLINK("https://12go.asia/en/travel/Kaapmuiden-Transfer/OR-Tambo-International-Airport", "12Go Link")</f>
        <v>12Go Link</v>
      </c>
      <c r="E5154" s="2" t="s">
        <v>191</v>
      </c>
    </row>
    <row r="5155">
      <c r="A5155" s="2" t="s">
        <v>4775</v>
      </c>
      <c r="B5155" s="2" t="s">
        <v>4310</v>
      </c>
      <c r="C5155" s="2" t="s">
        <v>4854</v>
      </c>
      <c r="D5155" s="3" t="str">
        <f t="shared" si="843"/>
        <v>12Go Link</v>
      </c>
      <c r="E5155" s="2" t="s">
        <v>192</v>
      </c>
    </row>
    <row r="5156">
      <c r="A5156" s="2" t="s">
        <v>4775</v>
      </c>
      <c r="B5156" s="2" t="s">
        <v>4310</v>
      </c>
      <c r="C5156" s="2" t="s">
        <v>4854</v>
      </c>
      <c r="D5156" s="3" t="str">
        <f t="shared" si="843"/>
        <v>12Go Link</v>
      </c>
      <c r="E5156" s="2" t="s">
        <v>193</v>
      </c>
    </row>
    <row r="5157">
      <c r="A5157" s="2" t="s">
        <v>4777</v>
      </c>
      <c r="B5157" s="2" t="s">
        <v>4310</v>
      </c>
      <c r="C5157" s="2" t="s">
        <v>4855</v>
      </c>
      <c r="D5157" s="3" t="str">
        <f t="shared" ref="D5157:D5159" si="844">HYPERLINK("https://12go.asia/en/travel/Nelspruit-Transfer/OR-Tambo-International-Airport", "12Go Link")</f>
        <v>12Go Link</v>
      </c>
      <c r="E5157" s="2" t="s">
        <v>191</v>
      </c>
    </row>
    <row r="5158">
      <c r="A5158" s="2" t="s">
        <v>4777</v>
      </c>
      <c r="B5158" s="2" t="s">
        <v>4310</v>
      </c>
      <c r="C5158" s="2" t="s">
        <v>4855</v>
      </c>
      <c r="D5158" s="3" t="str">
        <f t="shared" si="844"/>
        <v>12Go Link</v>
      </c>
      <c r="E5158" s="2" t="s">
        <v>192</v>
      </c>
    </row>
    <row r="5159">
      <c r="A5159" s="2" t="s">
        <v>4777</v>
      </c>
      <c r="B5159" s="2" t="s">
        <v>4310</v>
      </c>
      <c r="C5159" s="2" t="s">
        <v>4855</v>
      </c>
      <c r="D5159" s="3" t="str">
        <f t="shared" si="844"/>
        <v>12Go Link</v>
      </c>
      <c r="E5159" s="2" t="s">
        <v>193</v>
      </c>
    </row>
    <row r="5160">
      <c r="A5160" s="2" t="s">
        <v>4470</v>
      </c>
      <c r="B5160" s="2" t="s">
        <v>4331</v>
      </c>
      <c r="C5160" s="2" t="s">
        <v>4856</v>
      </c>
      <c r="D5160" s="3" t="str">
        <f t="shared" ref="D5160:D5162" si="845">HYPERLINK("https://12go.asia/en/travel/Melkbosstrand-Transfer/Cape-Town-International-Airport", "12Go Link")</f>
        <v>12Go Link</v>
      </c>
      <c r="E5160" s="2" t="s">
        <v>191</v>
      </c>
    </row>
    <row r="5161">
      <c r="A5161" s="2" t="s">
        <v>4470</v>
      </c>
      <c r="B5161" s="2" t="s">
        <v>4331</v>
      </c>
      <c r="C5161" s="2" t="s">
        <v>4856</v>
      </c>
      <c r="D5161" s="3" t="str">
        <f t="shared" si="845"/>
        <v>12Go Link</v>
      </c>
      <c r="E5161" s="2" t="s">
        <v>192</v>
      </c>
    </row>
    <row r="5162">
      <c r="A5162" s="2" t="s">
        <v>4470</v>
      </c>
      <c r="B5162" s="2" t="s">
        <v>4331</v>
      </c>
      <c r="C5162" s="2" t="s">
        <v>4856</v>
      </c>
      <c r="D5162" s="3" t="str">
        <f t="shared" si="845"/>
        <v>12Go Link</v>
      </c>
      <c r="E5162" s="2" t="s">
        <v>193</v>
      </c>
    </row>
    <row r="5163">
      <c r="A5163" s="2" t="s">
        <v>4779</v>
      </c>
      <c r="B5163" s="2" t="s">
        <v>4310</v>
      </c>
      <c r="C5163" s="2" t="s">
        <v>4857</v>
      </c>
      <c r="D5163" s="3" t="str">
        <f t="shared" ref="D5163:D5165" si="846">HYPERLINK("https://12go.asia/en/travel/Meyersdale-Transfer/OR-Tambo-International-Airport", "12Go Link")</f>
        <v>12Go Link</v>
      </c>
      <c r="E5163" s="2" t="s">
        <v>191</v>
      </c>
    </row>
    <row r="5164">
      <c r="A5164" s="2" t="s">
        <v>4779</v>
      </c>
      <c r="B5164" s="2" t="s">
        <v>4310</v>
      </c>
      <c r="C5164" s="2" t="s">
        <v>4857</v>
      </c>
      <c r="D5164" s="3" t="str">
        <f t="shared" si="846"/>
        <v>12Go Link</v>
      </c>
      <c r="E5164" s="2" t="s">
        <v>192</v>
      </c>
    </row>
    <row r="5165">
      <c r="A5165" s="2" t="s">
        <v>4779</v>
      </c>
      <c r="B5165" s="2" t="s">
        <v>4310</v>
      </c>
      <c r="C5165" s="2" t="s">
        <v>4857</v>
      </c>
      <c r="D5165" s="3" t="str">
        <f t="shared" si="846"/>
        <v>12Go Link</v>
      </c>
      <c r="E5165" s="2" t="s">
        <v>193</v>
      </c>
    </row>
    <row r="5166">
      <c r="A5166" s="2" t="s">
        <v>4781</v>
      </c>
      <c r="B5166" s="2" t="s">
        <v>4310</v>
      </c>
      <c r="C5166" s="2" t="s">
        <v>4858</v>
      </c>
      <c r="D5166" s="3" t="str">
        <f t="shared" ref="D5166:D5168" si="847">HYPERLINK("https://12go.asia/en/travel/Middleburg-Transfer/OR-Tambo-International-Airport", "12Go Link")</f>
        <v>12Go Link</v>
      </c>
      <c r="E5166" s="2" t="s">
        <v>191</v>
      </c>
    </row>
    <row r="5167">
      <c r="A5167" s="2" t="s">
        <v>4781</v>
      </c>
      <c r="B5167" s="2" t="s">
        <v>4310</v>
      </c>
      <c r="C5167" s="2" t="s">
        <v>4858</v>
      </c>
      <c r="D5167" s="3" t="str">
        <f t="shared" si="847"/>
        <v>12Go Link</v>
      </c>
      <c r="E5167" s="2" t="s">
        <v>192</v>
      </c>
    </row>
    <row r="5168">
      <c r="A5168" s="2" t="s">
        <v>4781</v>
      </c>
      <c r="B5168" s="2" t="s">
        <v>4310</v>
      </c>
      <c r="C5168" s="2" t="s">
        <v>4858</v>
      </c>
      <c r="D5168" s="3" t="str">
        <f t="shared" si="847"/>
        <v>12Go Link</v>
      </c>
      <c r="E5168" s="2" t="s">
        <v>193</v>
      </c>
    </row>
    <row r="5169">
      <c r="A5169" s="2" t="s">
        <v>4783</v>
      </c>
      <c r="B5169" s="2" t="s">
        <v>4310</v>
      </c>
      <c r="C5169" s="2" t="s">
        <v>4859</v>
      </c>
      <c r="D5169" s="3" t="str">
        <f t="shared" ref="D5169:D5171" si="848">HYPERLINK("https://12go.asia/en/travel/Midrand-Transfer/OR-Tambo-International-Airport", "12Go Link")</f>
        <v>12Go Link</v>
      </c>
      <c r="E5169" s="2" t="s">
        <v>191</v>
      </c>
    </row>
    <row r="5170">
      <c r="A5170" s="2" t="s">
        <v>4783</v>
      </c>
      <c r="B5170" s="2" t="s">
        <v>4310</v>
      </c>
      <c r="C5170" s="2" t="s">
        <v>4859</v>
      </c>
      <c r="D5170" s="3" t="str">
        <f t="shared" si="848"/>
        <v>12Go Link</v>
      </c>
      <c r="E5170" s="2" t="s">
        <v>192</v>
      </c>
    </row>
    <row r="5171">
      <c r="A5171" s="2" t="s">
        <v>4783</v>
      </c>
      <c r="B5171" s="2" t="s">
        <v>4310</v>
      </c>
      <c r="C5171" s="2" t="s">
        <v>4859</v>
      </c>
      <c r="D5171" s="3" t="str">
        <f t="shared" si="848"/>
        <v>12Go Link</v>
      </c>
      <c r="E5171" s="2" t="s">
        <v>193</v>
      </c>
    </row>
    <row r="5172">
      <c r="A5172" s="2" t="s">
        <v>4472</v>
      </c>
      <c r="B5172" s="2" t="s">
        <v>4331</v>
      </c>
      <c r="C5172" s="2" t="s">
        <v>4860</v>
      </c>
      <c r="D5172" s="3" t="str">
        <f t="shared" ref="D5172:D5174" si="849">HYPERLINK("https://12go.asia/en/travel/Milnerton-Transfer/Cape-Town-International-Airport", "12Go Link")</f>
        <v>12Go Link</v>
      </c>
      <c r="E5172" s="2" t="s">
        <v>191</v>
      </c>
    </row>
    <row r="5173">
      <c r="A5173" s="2" t="s">
        <v>4472</v>
      </c>
      <c r="B5173" s="2" t="s">
        <v>4331</v>
      </c>
      <c r="C5173" s="2" t="s">
        <v>4860</v>
      </c>
      <c r="D5173" s="3" t="str">
        <f t="shared" si="849"/>
        <v>12Go Link</v>
      </c>
      <c r="E5173" s="2" t="s">
        <v>192</v>
      </c>
    </row>
    <row r="5174">
      <c r="A5174" s="2" t="s">
        <v>4472</v>
      </c>
      <c r="B5174" s="2" t="s">
        <v>4331</v>
      </c>
      <c r="C5174" s="2" t="s">
        <v>4860</v>
      </c>
      <c r="D5174" s="3" t="str">
        <f t="shared" si="849"/>
        <v>12Go Link</v>
      </c>
      <c r="E5174" s="2" t="s">
        <v>193</v>
      </c>
    </row>
    <row r="5175">
      <c r="A5175" s="2" t="s">
        <v>4649</v>
      </c>
      <c r="B5175" s="2" t="s">
        <v>4307</v>
      </c>
      <c r="C5175" s="2" t="s">
        <v>4861</v>
      </c>
      <c r="D5175" s="3" t="str">
        <f t="shared" ref="D5175:D5177" si="850">HYPERLINK("https://12go.asia/en/travel/Northern-Areas-Transfer/Chief-Dawid-Stuurman-Intl-Airport", "12Go Link")</f>
        <v>12Go Link</v>
      </c>
      <c r="E5175" s="2" t="s">
        <v>191</v>
      </c>
    </row>
    <row r="5176">
      <c r="A5176" s="2" t="s">
        <v>4649</v>
      </c>
      <c r="B5176" s="2" t="s">
        <v>4307</v>
      </c>
      <c r="C5176" s="2" t="s">
        <v>4861</v>
      </c>
      <c r="D5176" s="3" t="str">
        <f t="shared" si="850"/>
        <v>12Go Link</v>
      </c>
      <c r="E5176" s="2" t="s">
        <v>192</v>
      </c>
    </row>
    <row r="5177">
      <c r="A5177" s="2" t="s">
        <v>4649</v>
      </c>
      <c r="B5177" s="2" t="s">
        <v>4307</v>
      </c>
      <c r="C5177" s="2" t="s">
        <v>4861</v>
      </c>
      <c r="D5177" s="3" t="str">
        <f t="shared" si="850"/>
        <v>12Go Link</v>
      </c>
      <c r="E5177" s="2" t="s">
        <v>193</v>
      </c>
    </row>
    <row r="5178">
      <c r="A5178" s="2" t="s">
        <v>4474</v>
      </c>
      <c r="B5178" s="2" t="s">
        <v>4331</v>
      </c>
      <c r="C5178" s="2" t="s">
        <v>4862</v>
      </c>
      <c r="D5178" s="3" t="str">
        <f t="shared" ref="D5178:D5180" si="851">HYPERLINK("https://12go.asia/en/travel/Noordhoek-Transfer/Cape-Town-International-Airport", "12Go Link")</f>
        <v>12Go Link</v>
      </c>
      <c r="E5178" s="2" t="s">
        <v>191</v>
      </c>
    </row>
    <row r="5179">
      <c r="A5179" s="2" t="s">
        <v>4474</v>
      </c>
      <c r="B5179" s="2" t="s">
        <v>4331</v>
      </c>
      <c r="C5179" s="2" t="s">
        <v>4862</v>
      </c>
      <c r="D5179" s="3" t="str">
        <f t="shared" si="851"/>
        <v>12Go Link</v>
      </c>
      <c r="E5179" s="2" t="s">
        <v>192</v>
      </c>
    </row>
    <row r="5180">
      <c r="A5180" s="2" t="s">
        <v>4474</v>
      </c>
      <c r="B5180" s="2" t="s">
        <v>4331</v>
      </c>
      <c r="C5180" s="2" t="s">
        <v>4862</v>
      </c>
      <c r="D5180" s="3" t="str">
        <f t="shared" si="851"/>
        <v>12Go Link</v>
      </c>
      <c r="E5180" s="2" t="s">
        <v>193</v>
      </c>
    </row>
    <row r="5181">
      <c r="A5181" s="2" t="s">
        <v>4535</v>
      </c>
      <c r="B5181" s="2" t="s">
        <v>4319</v>
      </c>
      <c r="C5181" s="2" t="s">
        <v>4863</v>
      </c>
      <c r="D5181" s="3" t="str">
        <f t="shared" ref="D5181:D5183" si="852">HYPERLINK("https://12go.asia/en/travel/Oribi-Gorge-Nature-Reserve-Transfer/Durban-International-Airport", "12Go Link")</f>
        <v>12Go Link</v>
      </c>
      <c r="E5181" s="2" t="s">
        <v>191</v>
      </c>
    </row>
    <row r="5182">
      <c r="A5182" s="2" t="s">
        <v>4535</v>
      </c>
      <c r="B5182" s="2" t="s">
        <v>4319</v>
      </c>
      <c r="C5182" s="2" t="s">
        <v>4863</v>
      </c>
      <c r="D5182" s="3" t="str">
        <f t="shared" si="852"/>
        <v>12Go Link</v>
      </c>
      <c r="E5182" s="2" t="s">
        <v>192</v>
      </c>
    </row>
    <row r="5183">
      <c r="A5183" s="2" t="s">
        <v>4535</v>
      </c>
      <c r="B5183" s="2" t="s">
        <v>4319</v>
      </c>
      <c r="C5183" s="2" t="s">
        <v>4863</v>
      </c>
      <c r="D5183" s="3" t="str">
        <f t="shared" si="852"/>
        <v>12Go Link</v>
      </c>
      <c r="E5183" s="2" t="s">
        <v>193</v>
      </c>
    </row>
    <row r="5184">
      <c r="A5184" s="2" t="s">
        <v>4476</v>
      </c>
      <c r="B5184" s="2" t="s">
        <v>4331</v>
      </c>
      <c r="C5184" s="2" t="s">
        <v>4864</v>
      </c>
      <c r="D5184" s="3" t="str">
        <f t="shared" ref="D5184:D5186" si="853">HYPERLINK("https://12go.asia/en/travel/Oudsthoorn-Transfer/Cape-Town-International-Airport", "12Go Link")</f>
        <v>12Go Link</v>
      </c>
      <c r="E5184" s="2" t="s">
        <v>191</v>
      </c>
    </row>
    <row r="5185">
      <c r="A5185" s="2" t="s">
        <v>4476</v>
      </c>
      <c r="B5185" s="2" t="s">
        <v>4331</v>
      </c>
      <c r="C5185" s="2" t="s">
        <v>4864</v>
      </c>
      <c r="D5185" s="3" t="str">
        <f t="shared" si="853"/>
        <v>12Go Link</v>
      </c>
      <c r="E5185" s="2" t="s">
        <v>192</v>
      </c>
    </row>
    <row r="5186">
      <c r="A5186" s="2" t="s">
        <v>4476</v>
      </c>
      <c r="B5186" s="2" t="s">
        <v>4331</v>
      </c>
      <c r="C5186" s="2" t="s">
        <v>4864</v>
      </c>
      <c r="D5186" s="3" t="str">
        <f t="shared" si="853"/>
        <v>12Go Link</v>
      </c>
      <c r="E5186" s="2" t="s">
        <v>193</v>
      </c>
    </row>
    <row r="5187">
      <c r="A5187" s="2" t="s">
        <v>4478</v>
      </c>
      <c r="B5187" s="2" t="s">
        <v>4331</v>
      </c>
      <c r="C5187" s="2" t="s">
        <v>4865</v>
      </c>
      <c r="D5187" s="3" t="str">
        <f t="shared" ref="D5187:D5189" si="854">HYPERLINK("https://12go.asia/en/travel/Paarl-Transfer/Cape-Town-International-Airport", "12Go Link")</f>
        <v>12Go Link</v>
      </c>
      <c r="E5187" s="2" t="s">
        <v>191</v>
      </c>
    </row>
    <row r="5188">
      <c r="A5188" s="2" t="s">
        <v>4478</v>
      </c>
      <c r="B5188" s="2" t="s">
        <v>4331</v>
      </c>
      <c r="C5188" s="2" t="s">
        <v>4865</v>
      </c>
      <c r="D5188" s="3" t="str">
        <f t="shared" si="854"/>
        <v>12Go Link</v>
      </c>
      <c r="E5188" s="2" t="s">
        <v>192</v>
      </c>
    </row>
    <row r="5189">
      <c r="A5189" s="2" t="s">
        <v>4478</v>
      </c>
      <c r="B5189" s="2" t="s">
        <v>4331</v>
      </c>
      <c r="C5189" s="2" t="s">
        <v>4865</v>
      </c>
      <c r="D5189" s="3" t="str">
        <f t="shared" si="854"/>
        <v>12Go Link</v>
      </c>
      <c r="E5189" s="2" t="s">
        <v>193</v>
      </c>
    </row>
    <row r="5190">
      <c r="A5190" s="2" t="s">
        <v>4478</v>
      </c>
      <c r="B5190" s="2" t="s">
        <v>4331</v>
      </c>
      <c r="C5190" s="2" t="s">
        <v>4866</v>
      </c>
      <c r="D5190" s="3" t="str">
        <f t="shared" ref="D5190:D5192" si="855">HYPERLINK("https://12go.asia/en/travel/Wellington-Transfer/Cape-Town-International-Airport", "12Go Link")</f>
        <v>12Go Link</v>
      </c>
      <c r="E5190" s="2" t="s">
        <v>191</v>
      </c>
    </row>
    <row r="5191">
      <c r="A5191" s="2" t="s">
        <v>4478</v>
      </c>
      <c r="B5191" s="2" t="s">
        <v>4331</v>
      </c>
      <c r="C5191" s="2" t="s">
        <v>4866</v>
      </c>
      <c r="D5191" s="3" t="str">
        <f t="shared" si="855"/>
        <v>12Go Link</v>
      </c>
      <c r="E5191" s="2" t="s">
        <v>192</v>
      </c>
    </row>
    <row r="5192">
      <c r="A5192" s="2" t="s">
        <v>4478</v>
      </c>
      <c r="B5192" s="2" t="s">
        <v>4331</v>
      </c>
      <c r="C5192" s="2" t="s">
        <v>4866</v>
      </c>
      <c r="D5192" s="3" t="str">
        <f t="shared" si="855"/>
        <v>12Go Link</v>
      </c>
      <c r="E5192" s="2" t="s">
        <v>193</v>
      </c>
    </row>
    <row r="5193">
      <c r="A5193" s="2" t="s">
        <v>4481</v>
      </c>
      <c r="B5193" s="2" t="s">
        <v>4331</v>
      </c>
      <c r="C5193" s="2" t="s">
        <v>4867</v>
      </c>
      <c r="D5193" s="3" t="str">
        <f t="shared" ref="D5193:D5195" si="856">HYPERLINK("https://12go.asia/en/travel/Parow-Transfer/Cape-Town-International-Airport", "12Go Link")</f>
        <v>12Go Link</v>
      </c>
      <c r="E5193" s="2" t="s">
        <v>191</v>
      </c>
    </row>
    <row r="5194">
      <c r="A5194" s="2" t="s">
        <v>4481</v>
      </c>
      <c r="B5194" s="2" t="s">
        <v>4331</v>
      </c>
      <c r="C5194" s="2" t="s">
        <v>4867</v>
      </c>
      <c r="D5194" s="3" t="str">
        <f t="shared" si="856"/>
        <v>12Go Link</v>
      </c>
      <c r="E5194" s="2" t="s">
        <v>192</v>
      </c>
    </row>
    <row r="5195">
      <c r="A5195" s="2" t="s">
        <v>4481</v>
      </c>
      <c r="B5195" s="2" t="s">
        <v>4331</v>
      </c>
      <c r="C5195" s="2" t="s">
        <v>4867</v>
      </c>
      <c r="D5195" s="3" t="str">
        <f t="shared" si="856"/>
        <v>12Go Link</v>
      </c>
      <c r="E5195" s="2" t="s">
        <v>193</v>
      </c>
    </row>
    <row r="5196">
      <c r="A5196" s="2" t="s">
        <v>4785</v>
      </c>
      <c r="B5196" s="2" t="s">
        <v>4310</v>
      </c>
      <c r="C5196" s="2" t="s">
        <v>4868</v>
      </c>
      <c r="D5196" s="3" t="str">
        <f t="shared" ref="D5196:D5198" si="857">HYPERLINK("https://12go.asia/en/travel/Perdekop-Transfer/OR-Tambo-International-Airport", "12Go Link")</f>
        <v>12Go Link</v>
      </c>
      <c r="E5196" s="2" t="s">
        <v>191</v>
      </c>
    </row>
    <row r="5197">
      <c r="A5197" s="2" t="s">
        <v>4785</v>
      </c>
      <c r="B5197" s="2" t="s">
        <v>4310</v>
      </c>
      <c r="C5197" s="2" t="s">
        <v>4868</v>
      </c>
      <c r="D5197" s="3" t="str">
        <f t="shared" si="857"/>
        <v>12Go Link</v>
      </c>
      <c r="E5197" s="2" t="s">
        <v>192</v>
      </c>
    </row>
    <row r="5198">
      <c r="A5198" s="2" t="s">
        <v>4785</v>
      </c>
      <c r="B5198" s="2" t="s">
        <v>4310</v>
      </c>
      <c r="C5198" s="2" t="s">
        <v>4868</v>
      </c>
      <c r="D5198" s="3" t="str">
        <f t="shared" si="857"/>
        <v>12Go Link</v>
      </c>
      <c r="E5198" s="2" t="s">
        <v>193</v>
      </c>
    </row>
    <row r="5199">
      <c r="A5199" s="2" t="s">
        <v>4537</v>
      </c>
      <c r="B5199" s="2" t="s">
        <v>4319</v>
      </c>
      <c r="C5199" s="2" t="s">
        <v>4869</v>
      </c>
      <c r="D5199" s="3" t="str">
        <f t="shared" ref="D5199:D5201" si="858">HYPERLINK("https://12go.asia/en/travel/Glenwood-Transfer/Durban-International-Airport", "12Go Link")</f>
        <v>12Go Link</v>
      </c>
      <c r="E5199" s="2" t="s">
        <v>191</v>
      </c>
    </row>
    <row r="5200">
      <c r="A5200" s="2" t="s">
        <v>4537</v>
      </c>
      <c r="B5200" s="2" t="s">
        <v>4319</v>
      </c>
      <c r="C5200" s="2" t="s">
        <v>4869</v>
      </c>
      <c r="D5200" s="3" t="str">
        <f t="shared" si="858"/>
        <v>12Go Link</v>
      </c>
      <c r="E5200" s="2" t="s">
        <v>192</v>
      </c>
    </row>
    <row r="5201">
      <c r="A5201" s="2" t="s">
        <v>4537</v>
      </c>
      <c r="B5201" s="2" t="s">
        <v>4319</v>
      </c>
      <c r="C5201" s="2" t="s">
        <v>4869</v>
      </c>
      <c r="D5201" s="3" t="str">
        <f t="shared" si="858"/>
        <v>12Go Link</v>
      </c>
      <c r="E5201" s="2" t="s">
        <v>193</v>
      </c>
    </row>
    <row r="5202">
      <c r="A5202" s="2" t="s">
        <v>4537</v>
      </c>
      <c r="B5202" s="2" t="s">
        <v>4319</v>
      </c>
      <c r="C5202" s="2" t="s">
        <v>4870</v>
      </c>
      <c r="D5202" s="3" t="str">
        <f t="shared" ref="D5202:D5204" si="859">HYPERLINK("https://12go.asia/en/travel/Natal-Milands-Transfer/Durban-International-Airport", "12Go Link")</f>
        <v>12Go Link</v>
      </c>
      <c r="E5202" s="2" t="s">
        <v>191</v>
      </c>
    </row>
    <row r="5203">
      <c r="A5203" s="2" t="s">
        <v>4537</v>
      </c>
      <c r="B5203" s="2" t="s">
        <v>4319</v>
      </c>
      <c r="C5203" s="2" t="s">
        <v>4870</v>
      </c>
      <c r="D5203" s="3" t="str">
        <f t="shared" si="859"/>
        <v>12Go Link</v>
      </c>
      <c r="E5203" s="2" t="s">
        <v>192</v>
      </c>
    </row>
    <row r="5204">
      <c r="A5204" s="2" t="s">
        <v>4537</v>
      </c>
      <c r="B5204" s="2" t="s">
        <v>4319</v>
      </c>
      <c r="C5204" s="2" t="s">
        <v>4870</v>
      </c>
      <c r="D5204" s="3" t="str">
        <f t="shared" si="859"/>
        <v>12Go Link</v>
      </c>
      <c r="E5204" s="2" t="s">
        <v>193</v>
      </c>
    </row>
    <row r="5205">
      <c r="A5205" s="2" t="s">
        <v>4537</v>
      </c>
      <c r="B5205" s="2" t="s">
        <v>4319</v>
      </c>
      <c r="C5205" s="2" t="s">
        <v>4871</v>
      </c>
      <c r="D5205" s="3" t="str">
        <f t="shared" ref="D5205:D5207" si="860">HYPERLINK("https://12go.asia/en/travel/Pietermaritzburg-Botanical-Gardens-Transfer/Durban-International-Airport", "12Go Link")</f>
        <v>12Go Link</v>
      </c>
      <c r="E5205" s="2" t="s">
        <v>191</v>
      </c>
    </row>
    <row r="5206">
      <c r="A5206" s="2" t="s">
        <v>4537</v>
      </c>
      <c r="B5206" s="2" t="s">
        <v>4319</v>
      </c>
      <c r="C5206" s="2" t="s">
        <v>4871</v>
      </c>
      <c r="D5206" s="3" t="str">
        <f t="shared" si="860"/>
        <v>12Go Link</v>
      </c>
      <c r="E5206" s="2" t="s">
        <v>192</v>
      </c>
    </row>
    <row r="5207">
      <c r="A5207" s="2" t="s">
        <v>4537</v>
      </c>
      <c r="B5207" s="2" t="s">
        <v>4319</v>
      </c>
      <c r="C5207" s="2" t="s">
        <v>4871</v>
      </c>
      <c r="D5207" s="3" t="str">
        <f t="shared" si="860"/>
        <v>12Go Link</v>
      </c>
      <c r="E5207" s="2" t="s">
        <v>193</v>
      </c>
    </row>
    <row r="5208">
      <c r="A5208" s="2" t="s">
        <v>4537</v>
      </c>
      <c r="B5208" s="2" t="s">
        <v>4319</v>
      </c>
      <c r="C5208" s="2" t="s">
        <v>4872</v>
      </c>
      <c r="D5208" s="3" t="str">
        <f t="shared" ref="D5208:D5210" si="861">HYPERLINK("https://12go.asia/en/travel/Pietermaritzburg-Transfer/Durban-International-Airport", "12Go Link")</f>
        <v>12Go Link</v>
      </c>
      <c r="E5208" s="2" t="s">
        <v>191</v>
      </c>
    </row>
    <row r="5209">
      <c r="A5209" s="2" t="s">
        <v>4537</v>
      </c>
      <c r="B5209" s="2" t="s">
        <v>4319</v>
      </c>
      <c r="C5209" s="2" t="s">
        <v>4872</v>
      </c>
      <c r="D5209" s="3" t="str">
        <f t="shared" si="861"/>
        <v>12Go Link</v>
      </c>
      <c r="E5209" s="2" t="s">
        <v>192</v>
      </c>
    </row>
    <row r="5210">
      <c r="A5210" s="2" t="s">
        <v>4537</v>
      </c>
      <c r="B5210" s="2" t="s">
        <v>4319</v>
      </c>
      <c r="C5210" s="2" t="s">
        <v>4872</v>
      </c>
      <c r="D5210" s="3" t="str">
        <f t="shared" si="861"/>
        <v>12Go Link</v>
      </c>
      <c r="E5210" s="2" t="s">
        <v>193</v>
      </c>
    </row>
    <row r="5211">
      <c r="A5211" s="2" t="s">
        <v>4787</v>
      </c>
      <c r="B5211" s="2" t="s">
        <v>4310</v>
      </c>
      <c r="C5211" s="2" t="s">
        <v>4873</v>
      </c>
      <c r="D5211" s="3" t="str">
        <f t="shared" ref="D5211:D5213" si="862">HYPERLINK("https://12go.asia/en/travel/Pilanesberg-Transfer/OR-Tambo-International-Airport", "12Go Link")</f>
        <v>12Go Link</v>
      </c>
      <c r="E5211" s="2" t="s">
        <v>191</v>
      </c>
    </row>
    <row r="5212">
      <c r="A5212" s="2" t="s">
        <v>4787</v>
      </c>
      <c r="B5212" s="2" t="s">
        <v>4310</v>
      </c>
      <c r="C5212" s="2" t="s">
        <v>4873</v>
      </c>
      <c r="D5212" s="3" t="str">
        <f t="shared" si="862"/>
        <v>12Go Link</v>
      </c>
      <c r="E5212" s="2" t="s">
        <v>192</v>
      </c>
    </row>
    <row r="5213">
      <c r="A5213" s="2" t="s">
        <v>4787</v>
      </c>
      <c r="B5213" s="2" t="s">
        <v>4310</v>
      </c>
      <c r="C5213" s="2" t="s">
        <v>4873</v>
      </c>
      <c r="D5213" s="3" t="str">
        <f t="shared" si="862"/>
        <v>12Go Link</v>
      </c>
      <c r="E5213" s="2" t="s">
        <v>193</v>
      </c>
    </row>
    <row r="5214">
      <c r="A5214" s="2" t="s">
        <v>4789</v>
      </c>
      <c r="B5214" s="2" t="s">
        <v>4310</v>
      </c>
      <c r="C5214" s="2" t="s">
        <v>4874</v>
      </c>
      <c r="D5214" s="3" t="str">
        <f t="shared" ref="D5214:D5216" si="863">HYPERLINK("https://12go.asia/en/travel/Ivory-Tree-Game-Lodge-Transfer/OR-Tambo-International-Airport", "12Go Link")</f>
        <v>12Go Link</v>
      </c>
      <c r="E5214" s="2" t="s">
        <v>191</v>
      </c>
    </row>
    <row r="5215">
      <c r="A5215" s="2" t="s">
        <v>4789</v>
      </c>
      <c r="B5215" s="2" t="s">
        <v>4310</v>
      </c>
      <c r="C5215" s="2" t="s">
        <v>4874</v>
      </c>
      <c r="D5215" s="3" t="str">
        <f t="shared" si="863"/>
        <v>12Go Link</v>
      </c>
      <c r="E5215" s="2" t="s">
        <v>192</v>
      </c>
    </row>
    <row r="5216">
      <c r="A5216" s="2" t="s">
        <v>4789</v>
      </c>
      <c r="B5216" s="2" t="s">
        <v>4310</v>
      </c>
      <c r="C5216" s="2" t="s">
        <v>4874</v>
      </c>
      <c r="D5216" s="3" t="str">
        <f t="shared" si="863"/>
        <v>12Go Link</v>
      </c>
      <c r="E5216" s="2" t="s">
        <v>193</v>
      </c>
    </row>
    <row r="5217">
      <c r="A5217" s="2" t="s">
        <v>4789</v>
      </c>
      <c r="B5217" s="2" t="s">
        <v>4310</v>
      </c>
      <c r="C5217" s="2" t="s">
        <v>4875</v>
      </c>
      <c r="D5217" s="3" t="str">
        <f t="shared" ref="D5217:D5219" si="864">HYPERLINK("https://12go.asia/en/travel/Shepherd-Tree-Game-Lodge-Transfer/OR-Tambo-International-Airport", "12Go Link")</f>
        <v>12Go Link</v>
      </c>
      <c r="E5217" s="2" t="s">
        <v>191</v>
      </c>
    </row>
    <row r="5218">
      <c r="A5218" s="2" t="s">
        <v>4789</v>
      </c>
      <c r="B5218" s="2" t="s">
        <v>4310</v>
      </c>
      <c r="C5218" s="2" t="s">
        <v>4875</v>
      </c>
      <c r="D5218" s="3" t="str">
        <f t="shared" si="864"/>
        <v>12Go Link</v>
      </c>
      <c r="E5218" s="2" t="s">
        <v>192</v>
      </c>
    </row>
    <row r="5219">
      <c r="A5219" s="2" t="s">
        <v>4789</v>
      </c>
      <c r="B5219" s="2" t="s">
        <v>4310</v>
      </c>
      <c r="C5219" s="2" t="s">
        <v>4875</v>
      </c>
      <c r="D5219" s="3" t="str">
        <f t="shared" si="864"/>
        <v>12Go Link</v>
      </c>
      <c r="E5219" s="2" t="s">
        <v>193</v>
      </c>
    </row>
    <row r="5220">
      <c r="A5220" s="2" t="s">
        <v>4542</v>
      </c>
      <c r="B5220" s="2" t="s">
        <v>4319</v>
      </c>
      <c r="C5220" s="2" t="s">
        <v>4876</v>
      </c>
      <c r="D5220" s="3" t="str">
        <f t="shared" ref="D5220:D5222" si="865">HYPERLINK("https://12go.asia/en/travel/Pine-Town-Transfer/Durban-International-Airport", "12Go Link")</f>
        <v>12Go Link</v>
      </c>
      <c r="E5220" s="2" t="s">
        <v>191</v>
      </c>
    </row>
    <row r="5221">
      <c r="A5221" s="2" t="s">
        <v>4542</v>
      </c>
      <c r="B5221" s="2" t="s">
        <v>4319</v>
      </c>
      <c r="C5221" s="2" t="s">
        <v>4876</v>
      </c>
      <c r="D5221" s="3" t="str">
        <f t="shared" si="865"/>
        <v>12Go Link</v>
      </c>
      <c r="E5221" s="2" t="s">
        <v>192</v>
      </c>
    </row>
    <row r="5222">
      <c r="A5222" s="2" t="s">
        <v>4542</v>
      </c>
      <c r="B5222" s="2" t="s">
        <v>4319</v>
      </c>
      <c r="C5222" s="2" t="s">
        <v>4876</v>
      </c>
      <c r="D5222" s="3" t="str">
        <f t="shared" si="865"/>
        <v>12Go Link</v>
      </c>
      <c r="E5222" s="2" t="s">
        <v>193</v>
      </c>
    </row>
    <row r="5223">
      <c r="A5223" s="2" t="s">
        <v>4792</v>
      </c>
      <c r="B5223" s="2" t="s">
        <v>4310</v>
      </c>
      <c r="C5223" s="2" t="s">
        <v>4877</v>
      </c>
      <c r="D5223" s="3" t="str">
        <f t="shared" ref="D5223:D5225" si="866">HYPERLINK("https://12go.asia/en/travel/Pont-Drift-Transfer/OR-Tambo-International-Airport", "12Go Link")</f>
        <v>12Go Link</v>
      </c>
      <c r="E5223" s="2" t="s">
        <v>191</v>
      </c>
    </row>
    <row r="5224">
      <c r="A5224" s="2" t="s">
        <v>4792</v>
      </c>
      <c r="B5224" s="2" t="s">
        <v>4310</v>
      </c>
      <c r="C5224" s="2" t="s">
        <v>4877</v>
      </c>
      <c r="D5224" s="3" t="str">
        <f t="shared" si="866"/>
        <v>12Go Link</v>
      </c>
      <c r="E5224" s="2" t="s">
        <v>192</v>
      </c>
    </row>
    <row r="5225">
      <c r="A5225" s="2" t="s">
        <v>4792</v>
      </c>
      <c r="B5225" s="2" t="s">
        <v>4310</v>
      </c>
      <c r="C5225" s="2" t="s">
        <v>4877</v>
      </c>
      <c r="D5225" s="3" t="str">
        <f t="shared" si="866"/>
        <v>12Go Link</v>
      </c>
      <c r="E5225" s="2" t="s">
        <v>193</v>
      </c>
    </row>
    <row r="5226">
      <c r="A5226" s="2" t="s">
        <v>4794</v>
      </c>
      <c r="B5226" s="2" t="s">
        <v>4310</v>
      </c>
      <c r="C5226" s="2" t="s">
        <v>4878</v>
      </c>
      <c r="D5226" s="3" t="str">
        <f t="shared" ref="D5226:D5228" si="867">HYPERLINK("https://12go.asia/en/travel/Potchestroom-Transfer/OR-Tambo-International-Airport", "12Go Link")</f>
        <v>12Go Link</v>
      </c>
      <c r="E5226" s="2" t="s">
        <v>191</v>
      </c>
    </row>
    <row r="5227">
      <c r="A5227" s="2" t="s">
        <v>4794</v>
      </c>
      <c r="B5227" s="2" t="s">
        <v>4310</v>
      </c>
      <c r="C5227" s="2" t="s">
        <v>4878</v>
      </c>
      <c r="D5227" s="3" t="str">
        <f t="shared" si="867"/>
        <v>12Go Link</v>
      </c>
      <c r="E5227" s="2" t="s">
        <v>192</v>
      </c>
    </row>
    <row r="5228">
      <c r="A5228" s="2" t="s">
        <v>4794</v>
      </c>
      <c r="B5228" s="2" t="s">
        <v>4310</v>
      </c>
      <c r="C5228" s="2" t="s">
        <v>4878</v>
      </c>
      <c r="D5228" s="3" t="str">
        <f t="shared" si="867"/>
        <v>12Go Link</v>
      </c>
      <c r="E5228" s="2" t="s">
        <v>193</v>
      </c>
    </row>
    <row r="5229">
      <c r="A5229" s="2" t="s">
        <v>4796</v>
      </c>
      <c r="B5229" s="2" t="s">
        <v>4310</v>
      </c>
      <c r="C5229" s="2" t="s">
        <v>4879</v>
      </c>
      <c r="D5229" s="3" t="str">
        <f t="shared" ref="D5229:D5231" si="868">HYPERLINK("https://12go.asia/en/travel/Menlyn-Transfer/OR-Tambo-International-Airport", "12Go Link")</f>
        <v>12Go Link</v>
      </c>
      <c r="E5229" s="2" t="s">
        <v>191</v>
      </c>
    </row>
    <row r="5230">
      <c r="A5230" s="2" t="s">
        <v>4796</v>
      </c>
      <c r="B5230" s="2" t="s">
        <v>4310</v>
      </c>
      <c r="C5230" s="2" t="s">
        <v>4879</v>
      </c>
      <c r="D5230" s="3" t="str">
        <f t="shared" si="868"/>
        <v>12Go Link</v>
      </c>
      <c r="E5230" s="2" t="s">
        <v>192</v>
      </c>
    </row>
    <row r="5231">
      <c r="A5231" s="2" t="s">
        <v>4796</v>
      </c>
      <c r="B5231" s="2" t="s">
        <v>4310</v>
      </c>
      <c r="C5231" s="2" t="s">
        <v>4879</v>
      </c>
      <c r="D5231" s="3" t="str">
        <f t="shared" si="868"/>
        <v>12Go Link</v>
      </c>
      <c r="E5231" s="2" t="s">
        <v>193</v>
      </c>
    </row>
    <row r="5232">
      <c r="A5232" s="2" t="s">
        <v>4796</v>
      </c>
      <c r="B5232" s="2" t="s">
        <v>4310</v>
      </c>
      <c r="C5232" s="2" t="s">
        <v>4880</v>
      </c>
      <c r="D5232" s="3" t="str">
        <f t="shared" ref="D5232:D5234" si="869">HYPERLINK("https://12go.asia/en/travel/Pretoria-Transfer/OR-Tambo-International-Airport", "12Go Link")</f>
        <v>12Go Link</v>
      </c>
      <c r="E5232" s="2" t="s">
        <v>191</v>
      </c>
    </row>
    <row r="5233">
      <c r="A5233" s="2" t="s">
        <v>4796</v>
      </c>
      <c r="B5233" s="2" t="s">
        <v>4310</v>
      </c>
      <c r="C5233" s="2" t="s">
        <v>4880</v>
      </c>
      <c r="D5233" s="3" t="str">
        <f t="shared" si="869"/>
        <v>12Go Link</v>
      </c>
      <c r="E5233" s="2" t="s">
        <v>192</v>
      </c>
    </row>
    <row r="5234">
      <c r="A5234" s="2" t="s">
        <v>4796</v>
      </c>
      <c r="B5234" s="2" t="s">
        <v>4310</v>
      </c>
      <c r="C5234" s="2" t="s">
        <v>4880</v>
      </c>
      <c r="D5234" s="3" t="str">
        <f t="shared" si="869"/>
        <v>12Go Link</v>
      </c>
      <c r="E5234" s="2" t="s">
        <v>193</v>
      </c>
    </row>
    <row r="5235">
      <c r="A5235" s="2" t="s">
        <v>4799</v>
      </c>
      <c r="B5235" s="2" t="s">
        <v>4310</v>
      </c>
      <c r="C5235" s="2" t="s">
        <v>4881</v>
      </c>
      <c r="D5235" s="3" t="str">
        <f t="shared" ref="D5235:D5237" si="870">HYPERLINK("https://12go.asia/en/travel/Bushill-Estate-Transfer/OR-Tambo-International-Airport", "12Go Link")</f>
        <v>12Go Link</v>
      </c>
      <c r="E5235" s="2" t="s">
        <v>191</v>
      </c>
    </row>
    <row r="5236">
      <c r="A5236" s="2" t="s">
        <v>4799</v>
      </c>
      <c r="B5236" s="2" t="s">
        <v>4310</v>
      </c>
      <c r="C5236" s="2" t="s">
        <v>4881</v>
      </c>
      <c r="D5236" s="3" t="str">
        <f t="shared" si="870"/>
        <v>12Go Link</v>
      </c>
      <c r="E5236" s="2" t="s">
        <v>192</v>
      </c>
    </row>
    <row r="5237">
      <c r="A5237" s="2" t="s">
        <v>4799</v>
      </c>
      <c r="B5237" s="2" t="s">
        <v>4310</v>
      </c>
      <c r="C5237" s="2" t="s">
        <v>4881</v>
      </c>
      <c r="D5237" s="3" t="str">
        <f t="shared" si="870"/>
        <v>12Go Link</v>
      </c>
      <c r="E5237" s="2" t="s">
        <v>193</v>
      </c>
    </row>
    <row r="5238">
      <c r="A5238" s="2" t="s">
        <v>4799</v>
      </c>
      <c r="B5238" s="2" t="s">
        <v>4310</v>
      </c>
      <c r="C5238" s="2" t="s">
        <v>4882</v>
      </c>
      <c r="D5238" s="3" t="str">
        <f t="shared" ref="D5238:D5240" si="871">HYPERLINK("https://12go.asia/en/travel/Northriding-Transfer/OR-Tambo-International-Airport", "12Go Link")</f>
        <v>12Go Link</v>
      </c>
      <c r="E5238" s="2" t="s">
        <v>191</v>
      </c>
    </row>
    <row r="5239">
      <c r="A5239" s="2" t="s">
        <v>4799</v>
      </c>
      <c r="B5239" s="2" t="s">
        <v>4310</v>
      </c>
      <c r="C5239" s="2" t="s">
        <v>4882</v>
      </c>
      <c r="D5239" s="3" t="str">
        <f t="shared" si="871"/>
        <v>12Go Link</v>
      </c>
      <c r="E5239" s="2" t="s">
        <v>192</v>
      </c>
    </row>
    <row r="5240">
      <c r="A5240" s="2" t="s">
        <v>4799</v>
      </c>
      <c r="B5240" s="2" t="s">
        <v>4310</v>
      </c>
      <c r="C5240" s="2" t="s">
        <v>4882</v>
      </c>
      <c r="D5240" s="3" t="str">
        <f t="shared" si="871"/>
        <v>12Go Link</v>
      </c>
      <c r="E5240" s="2" t="s">
        <v>193</v>
      </c>
    </row>
    <row r="5241">
      <c r="A5241" s="2" t="s">
        <v>4544</v>
      </c>
      <c r="B5241" s="2" t="s">
        <v>4319</v>
      </c>
      <c r="C5241" s="2" t="s">
        <v>4883</v>
      </c>
      <c r="D5241" s="3" t="str">
        <f t="shared" ref="D5241:D5243" si="872">HYPERLINK("https://12go.asia/en/travel/Richards-Bay-Transfer/Durban-International-Airport", "12Go Link")</f>
        <v>12Go Link</v>
      </c>
      <c r="E5241" s="2" t="s">
        <v>191</v>
      </c>
    </row>
    <row r="5242">
      <c r="A5242" s="2" t="s">
        <v>4544</v>
      </c>
      <c r="B5242" s="2" t="s">
        <v>4319</v>
      </c>
      <c r="C5242" s="2" t="s">
        <v>4883</v>
      </c>
      <c r="D5242" s="3" t="str">
        <f t="shared" si="872"/>
        <v>12Go Link</v>
      </c>
      <c r="E5242" s="2" t="s">
        <v>192</v>
      </c>
    </row>
    <row r="5243">
      <c r="A5243" s="2" t="s">
        <v>4544</v>
      </c>
      <c r="B5243" s="2" t="s">
        <v>4319</v>
      </c>
      <c r="C5243" s="2" t="s">
        <v>4883</v>
      </c>
      <c r="D5243" s="3" t="str">
        <f t="shared" si="872"/>
        <v>12Go Link</v>
      </c>
      <c r="E5243" s="2" t="s">
        <v>193</v>
      </c>
    </row>
    <row r="5244">
      <c r="A5244" s="2" t="s">
        <v>4802</v>
      </c>
      <c r="B5244" s="2" t="s">
        <v>4310</v>
      </c>
      <c r="C5244" s="2" t="s">
        <v>4884</v>
      </c>
      <c r="D5244" s="3" t="str">
        <f t="shared" ref="D5244:D5246" si="873">HYPERLINK("https://12go.asia/en/travel/Roodepoort-Transfer/OR-Tambo-International-Airport", "12Go Link")</f>
        <v>12Go Link</v>
      </c>
      <c r="E5244" s="2" t="s">
        <v>191</v>
      </c>
    </row>
    <row r="5245">
      <c r="A5245" s="2" t="s">
        <v>4802</v>
      </c>
      <c r="B5245" s="2" t="s">
        <v>4310</v>
      </c>
      <c r="C5245" s="2" t="s">
        <v>4884</v>
      </c>
      <c r="D5245" s="3" t="str">
        <f t="shared" si="873"/>
        <v>12Go Link</v>
      </c>
      <c r="E5245" s="2" t="s">
        <v>192</v>
      </c>
    </row>
    <row r="5246">
      <c r="A5246" s="2" t="s">
        <v>4802</v>
      </c>
      <c r="B5246" s="2" t="s">
        <v>4310</v>
      </c>
      <c r="C5246" s="2" t="s">
        <v>4884</v>
      </c>
      <c r="D5246" s="3" t="str">
        <f t="shared" si="873"/>
        <v>12Go Link</v>
      </c>
      <c r="E5246" s="2" t="s">
        <v>193</v>
      </c>
    </row>
    <row r="5247">
      <c r="A5247" s="2" t="s">
        <v>4802</v>
      </c>
      <c r="B5247" s="2" t="s">
        <v>4310</v>
      </c>
      <c r="C5247" s="2" t="s">
        <v>4885</v>
      </c>
      <c r="D5247" s="3" t="str">
        <f t="shared" ref="D5247:D5249" si="874">HYPERLINK("https://12go.asia/en/travel/Strubens-Valley-Transfer/OR-Tambo-International-Airport", "12Go Link")</f>
        <v>12Go Link</v>
      </c>
      <c r="E5247" s="2" t="s">
        <v>191</v>
      </c>
    </row>
    <row r="5248">
      <c r="A5248" s="2" t="s">
        <v>4802</v>
      </c>
      <c r="B5248" s="2" t="s">
        <v>4310</v>
      </c>
      <c r="C5248" s="2" t="s">
        <v>4885</v>
      </c>
      <c r="D5248" s="3" t="str">
        <f t="shared" si="874"/>
        <v>12Go Link</v>
      </c>
      <c r="E5248" s="2" t="s">
        <v>192</v>
      </c>
    </row>
    <row r="5249">
      <c r="A5249" s="2" t="s">
        <v>4802</v>
      </c>
      <c r="B5249" s="2" t="s">
        <v>4310</v>
      </c>
      <c r="C5249" s="2" t="s">
        <v>4885</v>
      </c>
      <c r="D5249" s="3" t="str">
        <f t="shared" si="874"/>
        <v>12Go Link</v>
      </c>
      <c r="E5249" s="2" t="s">
        <v>193</v>
      </c>
    </row>
    <row r="5250">
      <c r="A5250" s="2" t="s">
        <v>4802</v>
      </c>
      <c r="B5250" s="2" t="s">
        <v>4310</v>
      </c>
      <c r="C5250" s="2" t="s">
        <v>4886</v>
      </c>
      <c r="D5250" s="3" t="str">
        <f t="shared" ref="D5250:D5252" si="875">HYPERLINK("https://12go.asia/en/travel/Wilgeheuwel-Transfer/OR-Tambo-International-Airport", "12Go Link")</f>
        <v>12Go Link</v>
      </c>
      <c r="E5250" s="2" t="s">
        <v>191</v>
      </c>
    </row>
    <row r="5251">
      <c r="A5251" s="2" t="s">
        <v>4802</v>
      </c>
      <c r="B5251" s="2" t="s">
        <v>4310</v>
      </c>
      <c r="C5251" s="2" t="s">
        <v>4886</v>
      </c>
      <c r="D5251" s="3" t="str">
        <f t="shared" si="875"/>
        <v>12Go Link</v>
      </c>
      <c r="E5251" s="2" t="s">
        <v>192</v>
      </c>
    </row>
    <row r="5252">
      <c r="A5252" s="2" t="s">
        <v>4802</v>
      </c>
      <c r="B5252" s="2" t="s">
        <v>4310</v>
      </c>
      <c r="C5252" s="2" t="s">
        <v>4886</v>
      </c>
      <c r="D5252" s="3" t="str">
        <f t="shared" si="875"/>
        <v>12Go Link</v>
      </c>
      <c r="E5252" s="2" t="s">
        <v>193</v>
      </c>
    </row>
    <row r="5253">
      <c r="A5253" s="2" t="s">
        <v>4802</v>
      </c>
      <c r="B5253" s="2" t="s">
        <v>4310</v>
      </c>
      <c r="C5253" s="2" t="s">
        <v>4887</v>
      </c>
      <c r="D5253" s="3" t="str">
        <f t="shared" ref="D5253:D5255" si="876">HYPERLINK("https://12go.asia/en/travel/Wilro-Park-Transfer/OR-Tambo-International-Airport", "12Go Link")</f>
        <v>12Go Link</v>
      </c>
      <c r="E5253" s="2" t="s">
        <v>191</v>
      </c>
    </row>
    <row r="5254">
      <c r="A5254" s="2" t="s">
        <v>4802</v>
      </c>
      <c r="B5254" s="2" t="s">
        <v>4310</v>
      </c>
      <c r="C5254" s="2" t="s">
        <v>4887</v>
      </c>
      <c r="D5254" s="3" t="str">
        <f t="shared" si="876"/>
        <v>12Go Link</v>
      </c>
      <c r="E5254" s="2" t="s">
        <v>192</v>
      </c>
    </row>
    <row r="5255">
      <c r="A5255" s="2" t="s">
        <v>4802</v>
      </c>
      <c r="B5255" s="2" t="s">
        <v>4310</v>
      </c>
      <c r="C5255" s="2" t="s">
        <v>4887</v>
      </c>
      <c r="D5255" s="3" t="str">
        <f t="shared" si="876"/>
        <v>12Go Link</v>
      </c>
      <c r="E5255" s="2" t="s">
        <v>193</v>
      </c>
    </row>
    <row r="5256">
      <c r="A5256" s="2" t="s">
        <v>4802</v>
      </c>
      <c r="B5256" s="2" t="s">
        <v>4310</v>
      </c>
      <c r="C5256" s="2" t="s">
        <v>4888</v>
      </c>
      <c r="D5256" s="3" t="str">
        <f t="shared" ref="D5256:D5258" si="877">HYPERLINK("https://12go.asia/en/travel/Witpoortjie-Transfer/OR-Tambo-International-Airport", "12Go Link")</f>
        <v>12Go Link</v>
      </c>
      <c r="E5256" s="2" t="s">
        <v>191</v>
      </c>
    </row>
    <row r="5257">
      <c r="A5257" s="2" t="s">
        <v>4802</v>
      </c>
      <c r="B5257" s="2" t="s">
        <v>4310</v>
      </c>
      <c r="C5257" s="2" t="s">
        <v>4888</v>
      </c>
      <c r="D5257" s="3" t="str">
        <f t="shared" si="877"/>
        <v>12Go Link</v>
      </c>
      <c r="E5257" s="2" t="s">
        <v>192</v>
      </c>
    </row>
    <row r="5258">
      <c r="A5258" s="2" t="s">
        <v>4802</v>
      </c>
      <c r="B5258" s="2" t="s">
        <v>4310</v>
      </c>
      <c r="C5258" s="2" t="s">
        <v>4888</v>
      </c>
      <c r="D5258" s="3" t="str">
        <f t="shared" si="877"/>
        <v>12Go Link</v>
      </c>
      <c r="E5258" s="2" t="s">
        <v>193</v>
      </c>
    </row>
    <row r="5259">
      <c r="A5259" s="2" t="s">
        <v>4546</v>
      </c>
      <c r="B5259" s="2" t="s">
        <v>4319</v>
      </c>
      <c r="C5259" s="2" t="s">
        <v>4889</v>
      </c>
      <c r="D5259" s="3" t="str">
        <f t="shared" ref="D5259:D5261" si="878">HYPERLINK("https://12go.asia/en/travel/South-Coast-Transfer/Durban-International-Airport", "12Go Link")</f>
        <v>12Go Link</v>
      </c>
      <c r="E5259" s="2" t="s">
        <v>191</v>
      </c>
    </row>
    <row r="5260">
      <c r="A5260" s="2" t="s">
        <v>4546</v>
      </c>
      <c r="B5260" s="2" t="s">
        <v>4319</v>
      </c>
      <c r="C5260" s="2" t="s">
        <v>4889</v>
      </c>
      <c r="D5260" s="3" t="str">
        <f t="shared" si="878"/>
        <v>12Go Link</v>
      </c>
      <c r="E5260" s="2" t="s">
        <v>192</v>
      </c>
    </row>
    <row r="5261">
      <c r="A5261" s="2" t="s">
        <v>4546</v>
      </c>
      <c r="B5261" s="2" t="s">
        <v>4319</v>
      </c>
      <c r="C5261" s="2" t="s">
        <v>4889</v>
      </c>
      <c r="D5261" s="3" t="str">
        <f t="shared" si="878"/>
        <v>12Go Link</v>
      </c>
      <c r="E5261" s="2" t="s">
        <v>193</v>
      </c>
    </row>
    <row r="5262">
      <c r="A5262" s="2" t="s">
        <v>4808</v>
      </c>
      <c r="B5262" s="2" t="s">
        <v>4310</v>
      </c>
      <c r="C5262" s="2" t="s">
        <v>4890</v>
      </c>
      <c r="D5262" s="3" t="str">
        <f t="shared" ref="D5262:D5264" si="879">HYPERLINK("https://12go.asia/en/travel/Rustenburg-Transfer/OR-Tambo-International-Airport", "12Go Link")</f>
        <v>12Go Link</v>
      </c>
      <c r="E5262" s="2" t="s">
        <v>191</v>
      </c>
    </row>
    <row r="5263">
      <c r="A5263" s="2" t="s">
        <v>4808</v>
      </c>
      <c r="B5263" s="2" t="s">
        <v>4310</v>
      </c>
      <c r="C5263" s="2" t="s">
        <v>4890</v>
      </c>
      <c r="D5263" s="3" t="str">
        <f t="shared" si="879"/>
        <v>12Go Link</v>
      </c>
      <c r="E5263" s="2" t="s">
        <v>192</v>
      </c>
    </row>
    <row r="5264">
      <c r="A5264" s="2" t="s">
        <v>4808</v>
      </c>
      <c r="B5264" s="2" t="s">
        <v>4310</v>
      </c>
      <c r="C5264" s="2" t="s">
        <v>4890</v>
      </c>
      <c r="D5264" s="3" t="str">
        <f t="shared" si="879"/>
        <v>12Go Link</v>
      </c>
      <c r="E5264" s="2" t="s">
        <v>193</v>
      </c>
    </row>
    <row r="5265">
      <c r="A5265" s="2" t="s">
        <v>4810</v>
      </c>
      <c r="B5265" s="2" t="s">
        <v>4310</v>
      </c>
      <c r="C5265" s="2" t="s">
        <v>4891</v>
      </c>
      <c r="D5265" s="3" t="str">
        <f t="shared" ref="D5265:D5267" si="880">HYPERLINK("https://12go.asia/en/travel/Sabie-Transfer/OR-Tambo-International-Airport", "12Go Link")</f>
        <v>12Go Link</v>
      </c>
      <c r="E5265" s="2" t="s">
        <v>191</v>
      </c>
    </row>
    <row r="5266">
      <c r="A5266" s="2" t="s">
        <v>4810</v>
      </c>
      <c r="B5266" s="2" t="s">
        <v>4310</v>
      </c>
      <c r="C5266" s="2" t="s">
        <v>4891</v>
      </c>
      <c r="D5266" s="3" t="str">
        <f t="shared" si="880"/>
        <v>12Go Link</v>
      </c>
      <c r="E5266" s="2" t="s">
        <v>192</v>
      </c>
    </row>
    <row r="5267">
      <c r="A5267" s="2" t="s">
        <v>4810</v>
      </c>
      <c r="B5267" s="2" t="s">
        <v>4310</v>
      </c>
      <c r="C5267" s="2" t="s">
        <v>4891</v>
      </c>
      <c r="D5267" s="3" t="str">
        <f t="shared" si="880"/>
        <v>12Go Link</v>
      </c>
      <c r="E5267" s="2" t="s">
        <v>193</v>
      </c>
    </row>
    <row r="5268">
      <c r="A5268" s="2" t="s">
        <v>4812</v>
      </c>
      <c r="B5268" s="2" t="s">
        <v>4310</v>
      </c>
      <c r="C5268" s="2" t="s">
        <v>4892</v>
      </c>
      <c r="D5268" s="3" t="str">
        <f t="shared" ref="D5268:D5270" si="881">HYPERLINK("https://12go.asia/en/travel/Broadaches-Transfer/OR-Tambo-International-Airport", "12Go Link")</f>
        <v>12Go Link</v>
      </c>
      <c r="E5268" s="2" t="s">
        <v>191</v>
      </c>
    </row>
    <row r="5269">
      <c r="A5269" s="2" t="s">
        <v>4812</v>
      </c>
      <c r="B5269" s="2" t="s">
        <v>4310</v>
      </c>
      <c r="C5269" s="2" t="s">
        <v>4892</v>
      </c>
      <c r="D5269" s="3" t="str">
        <f t="shared" si="881"/>
        <v>12Go Link</v>
      </c>
      <c r="E5269" s="2" t="s">
        <v>192</v>
      </c>
    </row>
    <row r="5270">
      <c r="A5270" s="2" t="s">
        <v>4812</v>
      </c>
      <c r="B5270" s="2" t="s">
        <v>4310</v>
      </c>
      <c r="C5270" s="2" t="s">
        <v>4892</v>
      </c>
      <c r="D5270" s="3" t="str">
        <f t="shared" si="881"/>
        <v>12Go Link</v>
      </c>
      <c r="E5270" s="2" t="s">
        <v>193</v>
      </c>
    </row>
    <row r="5271">
      <c r="A5271" s="2" t="s">
        <v>4812</v>
      </c>
      <c r="B5271" s="2" t="s">
        <v>4310</v>
      </c>
      <c r="C5271" s="2" t="s">
        <v>4893</v>
      </c>
      <c r="D5271" s="3" t="str">
        <f t="shared" ref="D5271:D5273" si="882">HYPERLINK("https://12go.asia/en/travel/Melrose-Arch/OR-Tambo-International-Airport", "12Go Link")</f>
        <v>12Go Link</v>
      </c>
      <c r="E5271" s="2" t="s">
        <v>191</v>
      </c>
    </row>
    <row r="5272">
      <c r="A5272" s="2" t="s">
        <v>4812</v>
      </c>
      <c r="B5272" s="2" t="s">
        <v>4310</v>
      </c>
      <c r="C5272" s="2" t="s">
        <v>4893</v>
      </c>
      <c r="D5272" s="3" t="str">
        <f t="shared" si="882"/>
        <v>12Go Link</v>
      </c>
      <c r="E5272" s="2" t="s">
        <v>192</v>
      </c>
    </row>
    <row r="5273">
      <c r="A5273" s="2" t="s">
        <v>4812</v>
      </c>
      <c r="B5273" s="2" t="s">
        <v>4310</v>
      </c>
      <c r="C5273" s="2" t="s">
        <v>4893</v>
      </c>
      <c r="D5273" s="3" t="str">
        <f t="shared" si="882"/>
        <v>12Go Link</v>
      </c>
      <c r="E5273" s="2" t="s">
        <v>193</v>
      </c>
    </row>
    <row r="5274">
      <c r="A5274" s="2" t="s">
        <v>4812</v>
      </c>
      <c r="B5274" s="2" t="s">
        <v>4310</v>
      </c>
      <c r="C5274" s="2" t="s">
        <v>4894</v>
      </c>
      <c r="D5274" s="3" t="str">
        <f t="shared" ref="D5274:D5276" si="883">HYPERLINK("https://12go.asia/en/travel/Parkmore-Transfer/OR-Tambo-International-Airport", "12Go Link")</f>
        <v>12Go Link</v>
      </c>
      <c r="E5274" s="2" t="s">
        <v>191</v>
      </c>
    </row>
    <row r="5275">
      <c r="A5275" s="2" t="s">
        <v>4812</v>
      </c>
      <c r="B5275" s="2" t="s">
        <v>4310</v>
      </c>
      <c r="C5275" s="2" t="s">
        <v>4894</v>
      </c>
      <c r="D5275" s="3" t="str">
        <f t="shared" si="883"/>
        <v>12Go Link</v>
      </c>
      <c r="E5275" s="2" t="s">
        <v>192</v>
      </c>
    </row>
    <row r="5276">
      <c r="A5276" s="2" t="s">
        <v>4812</v>
      </c>
      <c r="B5276" s="2" t="s">
        <v>4310</v>
      </c>
      <c r="C5276" s="2" t="s">
        <v>4894</v>
      </c>
      <c r="D5276" s="3" t="str">
        <f t="shared" si="883"/>
        <v>12Go Link</v>
      </c>
      <c r="E5276" s="2" t="s">
        <v>193</v>
      </c>
    </row>
    <row r="5277">
      <c r="A5277" s="2" t="s">
        <v>4812</v>
      </c>
      <c r="B5277" s="2" t="s">
        <v>4310</v>
      </c>
      <c r="C5277" s="2" t="s">
        <v>4895</v>
      </c>
      <c r="D5277" s="3" t="str">
        <f t="shared" ref="D5277:D5279" si="884">HYPERLINK("https://12go.asia/en/travel/Sandton-Transfer/OR-Tambo-International-Airport", "12Go Link")</f>
        <v>12Go Link</v>
      </c>
      <c r="E5277" s="2" t="s">
        <v>191</v>
      </c>
    </row>
    <row r="5278">
      <c r="A5278" s="2" t="s">
        <v>4812</v>
      </c>
      <c r="B5278" s="2" t="s">
        <v>4310</v>
      </c>
      <c r="C5278" s="2" t="s">
        <v>4895</v>
      </c>
      <c r="D5278" s="3" t="str">
        <f t="shared" si="884"/>
        <v>12Go Link</v>
      </c>
      <c r="E5278" s="2" t="s">
        <v>192</v>
      </c>
    </row>
    <row r="5279">
      <c r="A5279" s="2" t="s">
        <v>4812</v>
      </c>
      <c r="B5279" s="2" t="s">
        <v>4310</v>
      </c>
      <c r="C5279" s="2" t="s">
        <v>4895</v>
      </c>
      <c r="D5279" s="3" t="str">
        <f t="shared" si="884"/>
        <v>12Go Link</v>
      </c>
      <c r="E5279" s="2" t="s">
        <v>193</v>
      </c>
    </row>
    <row r="5280">
      <c r="A5280" s="2" t="s">
        <v>4817</v>
      </c>
      <c r="B5280" s="2" t="s">
        <v>4310</v>
      </c>
      <c r="C5280" s="2" t="s">
        <v>4896</v>
      </c>
      <c r="D5280" s="3" t="str">
        <f t="shared" ref="D5280:D5282" si="885">HYPERLINK("https://12go.asia/en/travel/Secunda-Transfer/OR-Tambo-International-Airport", "12Go Link")</f>
        <v>12Go Link</v>
      </c>
      <c r="E5280" s="2" t="s">
        <v>191</v>
      </c>
    </row>
    <row r="5281">
      <c r="A5281" s="2" t="s">
        <v>4817</v>
      </c>
      <c r="B5281" s="2" t="s">
        <v>4310</v>
      </c>
      <c r="C5281" s="2" t="s">
        <v>4896</v>
      </c>
      <c r="D5281" s="3" t="str">
        <f t="shared" si="885"/>
        <v>12Go Link</v>
      </c>
      <c r="E5281" s="2" t="s">
        <v>192</v>
      </c>
    </row>
    <row r="5282">
      <c r="A5282" s="2" t="s">
        <v>4817</v>
      </c>
      <c r="B5282" s="2" t="s">
        <v>4310</v>
      </c>
      <c r="C5282" s="2" t="s">
        <v>4896</v>
      </c>
      <c r="D5282" s="3" t="str">
        <f t="shared" si="885"/>
        <v>12Go Link</v>
      </c>
      <c r="E5282" s="2" t="s">
        <v>193</v>
      </c>
    </row>
    <row r="5283">
      <c r="A5283" s="2" t="s">
        <v>4548</v>
      </c>
      <c r="B5283" s="2" t="s">
        <v>4319</v>
      </c>
      <c r="C5283" s="2" t="s">
        <v>4897</v>
      </c>
      <c r="D5283" s="3" t="str">
        <f t="shared" ref="D5283:D5285" si="886">HYPERLINK("https://12go.asia/en/travel/Sodwana-Bay-National-Park-Transfer/Durban-International-Airport", "12Go Link")</f>
        <v>12Go Link</v>
      </c>
      <c r="E5283" s="2" t="s">
        <v>191</v>
      </c>
    </row>
    <row r="5284">
      <c r="A5284" s="2" t="s">
        <v>4548</v>
      </c>
      <c r="B5284" s="2" t="s">
        <v>4319</v>
      </c>
      <c r="C5284" s="2" t="s">
        <v>4897</v>
      </c>
      <c r="D5284" s="3" t="str">
        <f t="shared" si="886"/>
        <v>12Go Link</v>
      </c>
      <c r="E5284" s="2" t="s">
        <v>192</v>
      </c>
    </row>
    <row r="5285">
      <c r="A5285" s="2" t="s">
        <v>4548</v>
      </c>
      <c r="B5285" s="2" t="s">
        <v>4319</v>
      </c>
      <c r="C5285" s="2" t="s">
        <v>4897</v>
      </c>
      <c r="D5285" s="3" t="str">
        <f t="shared" si="886"/>
        <v>12Go Link</v>
      </c>
      <c r="E5285" s="2" t="s">
        <v>193</v>
      </c>
    </row>
    <row r="5286">
      <c r="A5286" s="2" t="s">
        <v>4483</v>
      </c>
      <c r="B5286" s="2" t="s">
        <v>4331</v>
      </c>
      <c r="C5286" s="2" t="s">
        <v>4898</v>
      </c>
      <c r="D5286" s="3" t="str">
        <f t="shared" ref="D5286:D5288" si="887">HYPERLINK("https://12go.asia/en/travel/Somerset-West-Transfer/Cape-Town-International-Airport", "12Go Link")</f>
        <v>12Go Link</v>
      </c>
      <c r="E5286" s="2" t="s">
        <v>191</v>
      </c>
    </row>
    <row r="5287">
      <c r="A5287" s="2" t="s">
        <v>4483</v>
      </c>
      <c r="B5287" s="2" t="s">
        <v>4331</v>
      </c>
      <c r="C5287" s="2" t="s">
        <v>4898</v>
      </c>
      <c r="D5287" s="3" t="str">
        <f t="shared" si="887"/>
        <v>12Go Link</v>
      </c>
      <c r="E5287" s="2" t="s">
        <v>192</v>
      </c>
    </row>
    <row r="5288">
      <c r="A5288" s="2" t="s">
        <v>4483</v>
      </c>
      <c r="B5288" s="2" t="s">
        <v>4331</v>
      </c>
      <c r="C5288" s="2" t="s">
        <v>4898</v>
      </c>
      <c r="D5288" s="3" t="str">
        <f t="shared" si="887"/>
        <v>12Go Link</v>
      </c>
      <c r="E5288" s="2" t="s">
        <v>193</v>
      </c>
    </row>
    <row r="5289">
      <c r="A5289" s="2" t="s">
        <v>4819</v>
      </c>
      <c r="B5289" s="2" t="s">
        <v>4310</v>
      </c>
      <c r="C5289" s="2" t="s">
        <v>4899</v>
      </c>
      <c r="D5289" s="3" t="str">
        <f t="shared" ref="D5289:D5291" si="888">HYPERLINK("https://12go.asia/en/travel/Soweto-Transfer/OR-Tambo-International-Airport", "12Go Link")</f>
        <v>12Go Link</v>
      </c>
      <c r="E5289" s="2" t="s">
        <v>191</v>
      </c>
    </row>
    <row r="5290">
      <c r="A5290" s="2" t="s">
        <v>4819</v>
      </c>
      <c r="B5290" s="2" t="s">
        <v>4310</v>
      </c>
      <c r="C5290" s="2" t="s">
        <v>4899</v>
      </c>
      <c r="D5290" s="3" t="str">
        <f t="shared" si="888"/>
        <v>12Go Link</v>
      </c>
      <c r="E5290" s="2" t="s">
        <v>192</v>
      </c>
    </row>
    <row r="5291">
      <c r="A5291" s="2" t="s">
        <v>4819</v>
      </c>
      <c r="B5291" s="2" t="s">
        <v>4310</v>
      </c>
      <c r="C5291" s="2" t="s">
        <v>4899</v>
      </c>
      <c r="D5291" s="3" t="str">
        <f t="shared" si="888"/>
        <v>12Go Link</v>
      </c>
      <c r="E5291" s="2" t="s">
        <v>193</v>
      </c>
    </row>
    <row r="5292">
      <c r="A5292" s="2" t="s">
        <v>4821</v>
      </c>
      <c r="B5292" s="2" t="s">
        <v>4310</v>
      </c>
      <c r="C5292" s="2" t="s">
        <v>4900</v>
      </c>
      <c r="D5292" s="3" t="str">
        <f t="shared" ref="D5292:D5294" si="889">HYPERLINK("https://12go.asia/en/travel/Springs-Transfer/OR-Tambo-International-Airport", "12Go Link")</f>
        <v>12Go Link</v>
      </c>
      <c r="E5292" s="2" t="s">
        <v>191</v>
      </c>
    </row>
    <row r="5293">
      <c r="A5293" s="2" t="s">
        <v>4821</v>
      </c>
      <c r="B5293" s="2" t="s">
        <v>4310</v>
      </c>
      <c r="C5293" s="2" t="s">
        <v>4900</v>
      </c>
      <c r="D5293" s="3" t="str">
        <f t="shared" si="889"/>
        <v>12Go Link</v>
      </c>
      <c r="E5293" s="2" t="s">
        <v>192</v>
      </c>
    </row>
    <row r="5294">
      <c r="A5294" s="2" t="s">
        <v>4821</v>
      </c>
      <c r="B5294" s="2" t="s">
        <v>4310</v>
      </c>
      <c r="C5294" s="2" t="s">
        <v>4900</v>
      </c>
      <c r="D5294" s="3" t="str">
        <f t="shared" si="889"/>
        <v>12Go Link</v>
      </c>
      <c r="E5294" s="2" t="s">
        <v>193</v>
      </c>
    </row>
    <row r="5295">
      <c r="A5295" s="2" t="s">
        <v>4550</v>
      </c>
      <c r="B5295" s="2" t="s">
        <v>4319</v>
      </c>
      <c r="C5295" s="2" t="s">
        <v>4901</v>
      </c>
      <c r="D5295" s="3" t="str">
        <f t="shared" ref="D5295:D5297" si="890">HYPERLINK("https://12go.asia/en/travel/Elephant-Coast-Transfer/Durban-International-Airport", "12Go Link")</f>
        <v>12Go Link</v>
      </c>
      <c r="E5295" s="2" t="s">
        <v>191</v>
      </c>
    </row>
    <row r="5296">
      <c r="A5296" s="2" t="s">
        <v>4550</v>
      </c>
      <c r="B5296" s="2" t="s">
        <v>4319</v>
      </c>
      <c r="C5296" s="2" t="s">
        <v>4901</v>
      </c>
      <c r="D5296" s="3" t="str">
        <f t="shared" si="890"/>
        <v>12Go Link</v>
      </c>
      <c r="E5296" s="2" t="s">
        <v>192</v>
      </c>
    </row>
    <row r="5297">
      <c r="A5297" s="2" t="s">
        <v>4550</v>
      </c>
      <c r="B5297" s="2" t="s">
        <v>4319</v>
      </c>
      <c r="C5297" s="2" t="s">
        <v>4901</v>
      </c>
      <c r="D5297" s="3" t="str">
        <f t="shared" si="890"/>
        <v>12Go Link</v>
      </c>
      <c r="E5297" s="2" t="s">
        <v>193</v>
      </c>
    </row>
    <row r="5298">
      <c r="A5298" s="2" t="s">
        <v>4550</v>
      </c>
      <c r="B5298" s="2" t="s">
        <v>4319</v>
      </c>
      <c r="C5298" s="2" t="s">
        <v>4902</v>
      </c>
      <c r="D5298" s="3" t="str">
        <f t="shared" ref="D5298:D5300" si="891">HYPERLINK("https://12go.asia/en/travel/St-Lucia-Transfer/Durban-International-Airport", "12Go Link")</f>
        <v>12Go Link</v>
      </c>
      <c r="E5298" s="2" t="s">
        <v>191</v>
      </c>
    </row>
    <row r="5299">
      <c r="A5299" s="2" t="s">
        <v>4550</v>
      </c>
      <c r="B5299" s="2" t="s">
        <v>4319</v>
      </c>
      <c r="C5299" s="2" t="s">
        <v>4902</v>
      </c>
      <c r="D5299" s="3" t="str">
        <f t="shared" si="891"/>
        <v>12Go Link</v>
      </c>
      <c r="E5299" s="2" t="s">
        <v>192</v>
      </c>
    </row>
    <row r="5300">
      <c r="A5300" s="2" t="s">
        <v>4550</v>
      </c>
      <c r="B5300" s="2" t="s">
        <v>4319</v>
      </c>
      <c r="C5300" s="2" t="s">
        <v>4902</v>
      </c>
      <c r="D5300" s="3" t="str">
        <f t="shared" si="891"/>
        <v>12Go Link</v>
      </c>
      <c r="E5300" s="2" t="s">
        <v>193</v>
      </c>
    </row>
    <row r="5301">
      <c r="A5301" s="2" t="s">
        <v>4485</v>
      </c>
      <c r="B5301" s="2" t="s">
        <v>4331</v>
      </c>
      <c r="C5301" s="2" t="s">
        <v>4903</v>
      </c>
      <c r="D5301" s="3" t="str">
        <f t="shared" ref="D5301:D5303" si="892">HYPERLINK("https://12go.asia/en/travel/Stellenbosch-Transfer/Cape-Town-International-Airport", "12Go Link")</f>
        <v>12Go Link</v>
      </c>
      <c r="E5301" s="2" t="s">
        <v>191</v>
      </c>
    </row>
    <row r="5302">
      <c r="A5302" s="2" t="s">
        <v>4485</v>
      </c>
      <c r="B5302" s="2" t="s">
        <v>4331</v>
      </c>
      <c r="C5302" s="2" t="s">
        <v>4903</v>
      </c>
      <c r="D5302" s="3" t="str">
        <f t="shared" si="892"/>
        <v>12Go Link</v>
      </c>
      <c r="E5302" s="2" t="s">
        <v>192</v>
      </c>
    </row>
    <row r="5303">
      <c r="A5303" s="2" t="s">
        <v>4485</v>
      </c>
      <c r="B5303" s="2" t="s">
        <v>4331</v>
      </c>
      <c r="C5303" s="2" t="s">
        <v>4903</v>
      </c>
      <c r="D5303" s="3" t="str">
        <f t="shared" si="892"/>
        <v>12Go Link</v>
      </c>
      <c r="E5303" s="2" t="s">
        <v>193</v>
      </c>
    </row>
    <row r="5304">
      <c r="A5304" s="2" t="s">
        <v>4823</v>
      </c>
      <c r="B5304" s="2" t="s">
        <v>4310</v>
      </c>
      <c r="C5304" s="2" t="s">
        <v>4904</v>
      </c>
      <c r="D5304" s="3" t="str">
        <f t="shared" ref="D5304:D5306" si="893">HYPERLINK("https://12go.asia/en/travel/Sun-City-Resort/OR-Tambo-International-Airport", "12Go Link")</f>
        <v>12Go Link</v>
      </c>
      <c r="E5304" s="2" t="s">
        <v>191</v>
      </c>
    </row>
    <row r="5305">
      <c r="A5305" s="2" t="s">
        <v>4823</v>
      </c>
      <c r="B5305" s="2" t="s">
        <v>4310</v>
      </c>
      <c r="C5305" s="2" t="s">
        <v>4904</v>
      </c>
      <c r="D5305" s="3" t="str">
        <f t="shared" si="893"/>
        <v>12Go Link</v>
      </c>
      <c r="E5305" s="2" t="s">
        <v>192</v>
      </c>
    </row>
    <row r="5306">
      <c r="A5306" s="2" t="s">
        <v>4823</v>
      </c>
      <c r="B5306" s="2" t="s">
        <v>4310</v>
      </c>
      <c r="C5306" s="2" t="s">
        <v>4904</v>
      </c>
      <c r="D5306" s="3" t="str">
        <f t="shared" si="893"/>
        <v>12Go Link</v>
      </c>
      <c r="E5306" s="2" t="s">
        <v>193</v>
      </c>
    </row>
    <row r="5307">
      <c r="A5307" s="2" t="s">
        <v>4487</v>
      </c>
      <c r="B5307" s="2" t="s">
        <v>4331</v>
      </c>
      <c r="C5307" s="2" t="s">
        <v>4905</v>
      </c>
      <c r="D5307" s="3" t="str">
        <f t="shared" ref="D5307:D5309" si="894">HYPERLINK("https://12go.asia/en/travel/Aquila-Private-Game-Reserve-Transfer/Cape-Town-International-Airport", "12Go Link")</f>
        <v>12Go Link</v>
      </c>
      <c r="E5307" s="2" t="s">
        <v>191</v>
      </c>
    </row>
    <row r="5308">
      <c r="A5308" s="2" t="s">
        <v>4487</v>
      </c>
      <c r="B5308" s="2" t="s">
        <v>4331</v>
      </c>
      <c r="C5308" s="2" t="s">
        <v>4905</v>
      </c>
      <c r="D5308" s="3" t="str">
        <f t="shared" si="894"/>
        <v>12Go Link</v>
      </c>
      <c r="E5308" s="2" t="s">
        <v>192</v>
      </c>
    </row>
    <row r="5309">
      <c r="A5309" s="2" t="s">
        <v>4487</v>
      </c>
      <c r="B5309" s="2" t="s">
        <v>4331</v>
      </c>
      <c r="C5309" s="2" t="s">
        <v>4905</v>
      </c>
      <c r="D5309" s="3" t="str">
        <f t="shared" si="894"/>
        <v>12Go Link</v>
      </c>
      <c r="E5309" s="2" t="s">
        <v>193</v>
      </c>
    </row>
    <row r="5310">
      <c r="A5310" s="2" t="s">
        <v>4489</v>
      </c>
      <c r="B5310" s="2" t="s">
        <v>4331</v>
      </c>
      <c r="C5310" s="2" t="s">
        <v>4906</v>
      </c>
      <c r="D5310" s="3" t="str">
        <f t="shared" ref="D5310:D5312" si="895">HYPERLINK("https://12go.asia/en/travel/Tulbagh-Transfer/Cape-Town-International-Airport", "12Go Link")</f>
        <v>12Go Link</v>
      </c>
      <c r="E5310" s="2" t="s">
        <v>191</v>
      </c>
    </row>
    <row r="5311">
      <c r="A5311" s="2" t="s">
        <v>4489</v>
      </c>
      <c r="B5311" s="2" t="s">
        <v>4331</v>
      </c>
      <c r="C5311" s="2" t="s">
        <v>4906</v>
      </c>
      <c r="D5311" s="3" t="str">
        <f t="shared" si="895"/>
        <v>12Go Link</v>
      </c>
      <c r="E5311" s="2" t="s">
        <v>192</v>
      </c>
    </row>
    <row r="5312">
      <c r="A5312" s="2" t="s">
        <v>4489</v>
      </c>
      <c r="B5312" s="2" t="s">
        <v>4331</v>
      </c>
      <c r="C5312" s="2" t="s">
        <v>4906</v>
      </c>
      <c r="D5312" s="3" t="str">
        <f t="shared" si="895"/>
        <v>12Go Link</v>
      </c>
      <c r="E5312" s="2" t="s">
        <v>193</v>
      </c>
    </row>
    <row r="5313">
      <c r="A5313" s="2" t="s">
        <v>4825</v>
      </c>
      <c r="B5313" s="2" t="s">
        <v>4310</v>
      </c>
      <c r="C5313" s="2" t="s">
        <v>4907</v>
      </c>
      <c r="D5313" s="3" t="str">
        <f t="shared" ref="D5313:D5315" si="896">HYPERLINK("https://12go.asia/en/travel/Ukutula-Lion-Park-Transfer/OR-Tambo-International-Airport", "12Go Link")</f>
        <v>12Go Link</v>
      </c>
      <c r="E5313" s="2" t="s">
        <v>191</v>
      </c>
    </row>
    <row r="5314">
      <c r="A5314" s="2" t="s">
        <v>4825</v>
      </c>
      <c r="B5314" s="2" t="s">
        <v>4310</v>
      </c>
      <c r="C5314" s="2" t="s">
        <v>4907</v>
      </c>
      <c r="D5314" s="3" t="str">
        <f t="shared" si="896"/>
        <v>12Go Link</v>
      </c>
      <c r="E5314" s="2" t="s">
        <v>192</v>
      </c>
    </row>
    <row r="5315">
      <c r="A5315" s="2" t="s">
        <v>4825</v>
      </c>
      <c r="B5315" s="2" t="s">
        <v>4310</v>
      </c>
      <c r="C5315" s="2" t="s">
        <v>4907</v>
      </c>
      <c r="D5315" s="3" t="str">
        <f t="shared" si="896"/>
        <v>12Go Link</v>
      </c>
      <c r="E5315" s="2" t="s">
        <v>193</v>
      </c>
    </row>
    <row r="5316">
      <c r="A5316" s="2" t="s">
        <v>4553</v>
      </c>
      <c r="B5316" s="2" t="s">
        <v>4319</v>
      </c>
      <c r="C5316" s="2" t="s">
        <v>4908</v>
      </c>
      <c r="D5316" s="3" t="str">
        <f t="shared" ref="D5316:D5318" si="897">HYPERLINK("https://12go.asia/en/travel/Midlands-Meander-Transfer/Durban-International-Airport", "12Go Link")</f>
        <v>12Go Link</v>
      </c>
      <c r="E5316" s="2" t="s">
        <v>191</v>
      </c>
    </row>
    <row r="5317">
      <c r="A5317" s="2" t="s">
        <v>4553</v>
      </c>
      <c r="B5317" s="2" t="s">
        <v>4319</v>
      </c>
      <c r="C5317" s="2" t="s">
        <v>4908</v>
      </c>
      <c r="D5317" s="3" t="str">
        <f t="shared" si="897"/>
        <v>12Go Link</v>
      </c>
      <c r="E5317" s="2" t="s">
        <v>192</v>
      </c>
    </row>
    <row r="5318">
      <c r="A5318" s="2" t="s">
        <v>4553</v>
      </c>
      <c r="B5318" s="2" t="s">
        <v>4319</v>
      </c>
      <c r="C5318" s="2" t="s">
        <v>4908</v>
      </c>
      <c r="D5318" s="3" t="str">
        <f t="shared" si="897"/>
        <v>12Go Link</v>
      </c>
      <c r="E5318" s="2" t="s">
        <v>193</v>
      </c>
    </row>
    <row r="5319">
      <c r="A5319" s="2" t="s">
        <v>4555</v>
      </c>
      <c r="B5319" s="2" t="s">
        <v>4319</v>
      </c>
      <c r="C5319" s="2" t="s">
        <v>4909</v>
      </c>
      <c r="D5319" s="3" t="str">
        <f t="shared" ref="D5319:D5321" si="898">HYPERLINK("https://12go.asia/en/travel/Umhlanga-Rocks-Transfer/Durban-International-Airport", "12Go Link")</f>
        <v>12Go Link</v>
      </c>
      <c r="E5319" s="2" t="s">
        <v>191</v>
      </c>
    </row>
    <row r="5320">
      <c r="A5320" s="2" t="s">
        <v>4555</v>
      </c>
      <c r="B5320" s="2" t="s">
        <v>4319</v>
      </c>
      <c r="C5320" s="2" t="s">
        <v>4909</v>
      </c>
      <c r="D5320" s="3" t="str">
        <f t="shared" si="898"/>
        <v>12Go Link</v>
      </c>
      <c r="E5320" s="2" t="s">
        <v>192</v>
      </c>
    </row>
    <row r="5321">
      <c r="A5321" s="2" t="s">
        <v>4555</v>
      </c>
      <c r="B5321" s="2" t="s">
        <v>4319</v>
      </c>
      <c r="C5321" s="2" t="s">
        <v>4909</v>
      </c>
      <c r="D5321" s="3" t="str">
        <f t="shared" si="898"/>
        <v>12Go Link</v>
      </c>
      <c r="E5321" s="2" t="s">
        <v>193</v>
      </c>
    </row>
    <row r="5322">
      <c r="A5322" s="2" t="s">
        <v>4827</v>
      </c>
      <c r="B5322" s="2" t="s">
        <v>4310</v>
      </c>
      <c r="C5322" s="2" t="s">
        <v>4910</v>
      </c>
      <c r="D5322" s="3" t="str">
        <f t="shared" ref="D5322:D5324" si="899">HYPERLINK("https://12go.asia/en/travel/Vanderbijlpark-Transfer/OR-Tambo-International-Airport", "12Go Link")</f>
        <v>12Go Link</v>
      </c>
      <c r="E5322" s="2" t="s">
        <v>191</v>
      </c>
    </row>
    <row r="5323">
      <c r="A5323" s="2" t="s">
        <v>4827</v>
      </c>
      <c r="B5323" s="2" t="s">
        <v>4310</v>
      </c>
      <c r="C5323" s="2" t="s">
        <v>4910</v>
      </c>
      <c r="D5323" s="3" t="str">
        <f t="shared" si="899"/>
        <v>12Go Link</v>
      </c>
      <c r="E5323" s="2" t="s">
        <v>192</v>
      </c>
    </row>
    <row r="5324">
      <c r="A5324" s="2" t="s">
        <v>4827</v>
      </c>
      <c r="B5324" s="2" t="s">
        <v>4310</v>
      </c>
      <c r="C5324" s="2" t="s">
        <v>4910</v>
      </c>
      <c r="D5324" s="3" t="str">
        <f t="shared" si="899"/>
        <v>12Go Link</v>
      </c>
      <c r="E5324" s="2" t="s">
        <v>193</v>
      </c>
    </row>
    <row r="5325">
      <c r="A5325" s="2" t="s">
        <v>4829</v>
      </c>
      <c r="B5325" s="2" t="s">
        <v>4310</v>
      </c>
      <c r="C5325" s="2" t="s">
        <v>4911</v>
      </c>
      <c r="D5325" s="3" t="str">
        <f t="shared" ref="D5325:D5327" si="900">HYPERLINK("https://12go.asia/en/travel/Wakkerstroom-Transfer/OR-Tambo-International-Airport", "12Go Link")</f>
        <v>12Go Link</v>
      </c>
      <c r="E5325" s="2" t="s">
        <v>191</v>
      </c>
    </row>
    <row r="5326">
      <c r="A5326" s="2" t="s">
        <v>4829</v>
      </c>
      <c r="B5326" s="2" t="s">
        <v>4310</v>
      </c>
      <c r="C5326" s="2" t="s">
        <v>4911</v>
      </c>
      <c r="D5326" s="3" t="str">
        <f t="shared" si="900"/>
        <v>12Go Link</v>
      </c>
      <c r="E5326" s="2" t="s">
        <v>192</v>
      </c>
    </row>
    <row r="5327">
      <c r="A5327" s="2" t="s">
        <v>4829</v>
      </c>
      <c r="B5327" s="2" t="s">
        <v>4310</v>
      </c>
      <c r="C5327" s="2" t="s">
        <v>4911</v>
      </c>
      <c r="D5327" s="3" t="str">
        <f t="shared" si="900"/>
        <v>12Go Link</v>
      </c>
      <c r="E5327" s="2" t="s">
        <v>193</v>
      </c>
    </row>
    <row r="5328">
      <c r="A5328" s="2" t="s">
        <v>4831</v>
      </c>
      <c r="B5328" s="2" t="s">
        <v>4310</v>
      </c>
      <c r="C5328" s="2" t="s">
        <v>4912</v>
      </c>
      <c r="D5328" s="3" t="str">
        <f t="shared" ref="D5328:D5330" si="901">HYPERLINK("https://12go.asia/en/travel/Waterval-Boven-Transfer/OR-Tambo-International-Airport", "12Go Link")</f>
        <v>12Go Link</v>
      </c>
      <c r="E5328" s="2" t="s">
        <v>191</v>
      </c>
    </row>
    <row r="5329">
      <c r="A5329" s="2" t="s">
        <v>4831</v>
      </c>
      <c r="B5329" s="2" t="s">
        <v>4310</v>
      </c>
      <c r="C5329" s="2" t="s">
        <v>4912</v>
      </c>
      <c r="D5329" s="3" t="str">
        <f t="shared" si="901"/>
        <v>12Go Link</v>
      </c>
      <c r="E5329" s="2" t="s">
        <v>192</v>
      </c>
    </row>
    <row r="5330">
      <c r="A5330" s="2" t="s">
        <v>4831</v>
      </c>
      <c r="B5330" s="2" t="s">
        <v>4310</v>
      </c>
      <c r="C5330" s="2" t="s">
        <v>4912</v>
      </c>
      <c r="D5330" s="3" t="str">
        <f t="shared" si="901"/>
        <v>12Go Link</v>
      </c>
      <c r="E5330" s="2" t="s">
        <v>193</v>
      </c>
    </row>
    <row r="5331">
      <c r="A5331" s="2" t="s">
        <v>4557</v>
      </c>
      <c r="B5331" s="2" t="s">
        <v>4319</v>
      </c>
      <c r="C5331" s="2" t="s">
        <v>4913</v>
      </c>
      <c r="D5331" s="3" t="str">
        <f t="shared" ref="D5331:D5333" si="902">HYPERLINK("https://12go.asia/en/travel/Westbrook-Transfer/Durban-International-Airport", "12Go Link")</f>
        <v>12Go Link</v>
      </c>
      <c r="E5331" s="2" t="s">
        <v>191</v>
      </c>
    </row>
    <row r="5332">
      <c r="A5332" s="2" t="s">
        <v>4557</v>
      </c>
      <c r="B5332" s="2" t="s">
        <v>4319</v>
      </c>
      <c r="C5332" s="2" t="s">
        <v>4913</v>
      </c>
      <c r="D5332" s="3" t="str">
        <f t="shared" si="902"/>
        <v>12Go Link</v>
      </c>
      <c r="E5332" s="2" t="s">
        <v>192</v>
      </c>
    </row>
    <row r="5333">
      <c r="A5333" s="2" t="s">
        <v>4557</v>
      </c>
      <c r="B5333" s="2" t="s">
        <v>4319</v>
      </c>
      <c r="C5333" s="2" t="s">
        <v>4913</v>
      </c>
      <c r="D5333" s="3" t="str">
        <f t="shared" si="902"/>
        <v>12Go Link</v>
      </c>
      <c r="E5333" s="2" t="s">
        <v>193</v>
      </c>
    </row>
    <row r="5334">
      <c r="A5334" s="2" t="s">
        <v>4833</v>
      </c>
      <c r="B5334" s="2" t="s">
        <v>4310</v>
      </c>
      <c r="C5334" s="2" t="s">
        <v>4914</v>
      </c>
      <c r="D5334" s="3" t="str">
        <f t="shared" ref="D5334:D5336" si="903">HYPERLINK("https://12go.asia/en/travel/White-River-Transfer/OR-Tambo-International-Airport", "12Go Link")</f>
        <v>12Go Link</v>
      </c>
      <c r="E5334" s="2" t="s">
        <v>191</v>
      </c>
    </row>
    <row r="5335">
      <c r="A5335" s="2" t="s">
        <v>4833</v>
      </c>
      <c r="B5335" s="2" t="s">
        <v>4310</v>
      </c>
      <c r="C5335" s="2" t="s">
        <v>4914</v>
      </c>
      <c r="D5335" s="3" t="str">
        <f t="shared" si="903"/>
        <v>12Go Link</v>
      </c>
      <c r="E5335" s="2" t="s">
        <v>192</v>
      </c>
    </row>
    <row r="5336">
      <c r="A5336" s="2" t="s">
        <v>4833</v>
      </c>
      <c r="B5336" s="2" t="s">
        <v>4310</v>
      </c>
      <c r="C5336" s="2" t="s">
        <v>4914</v>
      </c>
      <c r="D5336" s="3" t="str">
        <f t="shared" si="903"/>
        <v>12Go Link</v>
      </c>
      <c r="E5336" s="2" t="s">
        <v>193</v>
      </c>
    </row>
    <row r="5337">
      <c r="A5337" s="2" t="s">
        <v>4915</v>
      </c>
      <c r="B5337" s="2" t="s">
        <v>4916</v>
      </c>
      <c r="C5337" s="2" t="s">
        <v>4917</v>
      </c>
      <c r="D5337" s="3" t="str">
        <f>HYPERLINK("https://12go.asia/en/travel/WAFL-Cafe-Wellewatte/Anuradhapura", "12Go Link")</f>
        <v>12Go Link</v>
      </c>
      <c r="E5337" s="2" t="s">
        <v>4918</v>
      </c>
    </row>
    <row r="5338">
      <c r="A5338" s="2" t="s">
        <v>4915</v>
      </c>
      <c r="B5338" s="2" t="s">
        <v>4919</v>
      </c>
      <c r="C5338" s="2" t="s">
        <v>4920</v>
      </c>
      <c r="D5338" s="3" t="str">
        <f>HYPERLINK("https://12go.asia/en/travel/WAFL-Cafe-Wellewatte/Jaffna-Bus-Station", "12Go Link")</f>
        <v>12Go Link</v>
      </c>
      <c r="E5338" s="2" t="s">
        <v>4918</v>
      </c>
    </row>
    <row r="5339">
      <c r="A5339" s="2" t="s">
        <v>4921</v>
      </c>
      <c r="B5339" s="2" t="s">
        <v>4922</v>
      </c>
      <c r="C5339" s="2" t="s">
        <v>4923</v>
      </c>
      <c r="D5339" s="3" t="str">
        <f>HYPERLINK("https://12go.asia/en/travel/banqiao/beigang", "12Go Link")</f>
        <v>12Go Link</v>
      </c>
      <c r="E5339" s="2" t="s">
        <v>77</v>
      </c>
    </row>
    <row r="5340">
      <c r="A5340" s="2" t="s">
        <v>4924</v>
      </c>
      <c r="B5340" s="2" t="s">
        <v>4925</v>
      </c>
      <c r="C5340" s="2" t="s">
        <v>4926</v>
      </c>
      <c r="D5340" s="3" t="str">
        <f>HYPERLINK("https://12go.asia/en/travel/nangang/taoyuan-city", "12Go Link")</f>
        <v>12Go Link</v>
      </c>
      <c r="E5340" s="2" t="s">
        <v>77</v>
      </c>
    </row>
    <row r="5341">
      <c r="A5341" s="2" t="s">
        <v>4927</v>
      </c>
      <c r="B5341" s="2" t="s">
        <v>4928</v>
      </c>
      <c r="C5341" s="2" t="s">
        <v>4929</v>
      </c>
      <c r="D5341" s="3" t="str">
        <f>HYPERLINK("https://12go.asia/en/travel/Ao-Nang-Hotel-Transfer/Khao-Sok-Bus-Stop", "12Go Link")</f>
        <v>12Go Link</v>
      </c>
      <c r="E5341" s="2" t="s">
        <v>4930</v>
      </c>
    </row>
    <row r="5342">
      <c r="A5342" s="2" t="s">
        <v>4927</v>
      </c>
      <c r="B5342" s="2" t="s">
        <v>4931</v>
      </c>
      <c r="C5342" s="2" t="s">
        <v>4932</v>
      </c>
      <c r="D5342" s="3" t="str">
        <f>HYPERLINK("https://12go.asia/en/travel/Ao-Nang-Hotel-Transfer/Koh-Lanta-Hotel-Transfer", "12Go Link")</f>
        <v>12Go Link</v>
      </c>
      <c r="E5342" s="2" t="s">
        <v>4933</v>
      </c>
    </row>
    <row r="5343">
      <c r="A5343" s="2" t="s">
        <v>4927</v>
      </c>
      <c r="B5343" s="2" t="s">
        <v>4931</v>
      </c>
      <c r="C5343" s="2" t="s">
        <v>4934</v>
      </c>
      <c r="D5343" s="3" t="str">
        <f>HYPERLINK("https://12go.asia/en/travel/Ao-Nang-Hotel-Transfer/Saladan-Pier-Koh-Lanta", "12Go Link")</f>
        <v>12Go Link</v>
      </c>
      <c r="E5343" s="2" t="s">
        <v>4935</v>
      </c>
    </row>
    <row r="5344">
      <c r="A5344" s="2" t="s">
        <v>4927</v>
      </c>
      <c r="B5344" s="2" t="s">
        <v>4931</v>
      </c>
      <c r="C5344" s="2" t="s">
        <v>4936</v>
      </c>
      <c r="D5344" s="3" t="str">
        <f>HYPERLINK("https://12go.asia/en/travel/Ao-Nang-Transfer-except-Krabi-Town-and-Railay/Koh-Lanta-Transfer", "12Go Link")</f>
        <v>12Go Link</v>
      </c>
      <c r="E5344" s="2" t="s">
        <v>4933</v>
      </c>
    </row>
    <row r="5345">
      <c r="A5345" s="2" t="s">
        <v>4927</v>
      </c>
      <c r="B5345" s="2" t="s">
        <v>4937</v>
      </c>
      <c r="C5345" s="2" t="s">
        <v>4938</v>
      </c>
      <c r="D5345" s="3" t="str">
        <f>HYPERLINK("https://12go.asia/en/travel/Ao-Nang-Hotel-Transfer/Thong-Sala", "12Go Link")</f>
        <v>12Go Link</v>
      </c>
      <c r="E5345" s="2" t="s">
        <v>4935</v>
      </c>
    </row>
    <row r="5346">
      <c r="A5346" s="2" t="s">
        <v>4927</v>
      </c>
      <c r="B5346" s="2" t="s">
        <v>4939</v>
      </c>
      <c r="C5346" s="2" t="s">
        <v>4940</v>
      </c>
      <c r="D5346" s="3" t="str">
        <f>HYPERLINK("https://12go.asia/en/travel/Ao-Nang-Transfer/Koh-Phi-Phi", "12Go Link")</f>
        <v>12Go Link</v>
      </c>
      <c r="E5346" s="2" t="s">
        <v>4941</v>
      </c>
    </row>
    <row r="5347">
      <c r="A5347" s="2" t="s">
        <v>4927</v>
      </c>
      <c r="B5347" s="2" t="s">
        <v>4939</v>
      </c>
      <c r="C5347" s="2" t="s">
        <v>4942</v>
      </c>
      <c r="D5347" s="3" t="str">
        <f>HYPERLINK("https://12go.asia/en/travel/Ao-Nang-Transfer-except-Krabi-Town-and-Railay/Ton-Sai-Pier-Koh-Phi-Phi", "12Go Link")</f>
        <v>12Go Link</v>
      </c>
      <c r="E5347" s="2" t="s">
        <v>4943</v>
      </c>
    </row>
    <row r="5348">
      <c r="A5348" s="2" t="s">
        <v>4927</v>
      </c>
      <c r="B5348" s="2" t="s">
        <v>4939</v>
      </c>
      <c r="C5348" s="2" t="s">
        <v>4944</v>
      </c>
      <c r="D5348" s="3" t="str">
        <f>HYPERLINK("https://12go.asia/en/travel/Wangsai-Pier/Ton-Sai-Pier-Koh-Phi-Phi", "12Go Link")</f>
        <v>12Go Link</v>
      </c>
      <c r="E5348" s="2" t="s">
        <v>234</v>
      </c>
    </row>
    <row r="5349">
      <c r="A5349" s="2" t="s">
        <v>4927</v>
      </c>
      <c r="B5349" s="2" t="s">
        <v>4945</v>
      </c>
      <c r="C5349" s="2" t="s">
        <v>4946</v>
      </c>
      <c r="D5349" s="3" t="str">
        <f>HYPERLINK("https://12go.asia/en/travel/Ao-Nang-Hotel-Transfer/Na-Thon-Seatran-Ferry-Pier", "12Go Link")</f>
        <v>12Go Link</v>
      </c>
      <c r="E5349" s="2" t="s">
        <v>4935</v>
      </c>
    </row>
    <row r="5350">
      <c r="A5350" s="2" t="s">
        <v>4927</v>
      </c>
      <c r="B5350" s="2" t="s">
        <v>4228</v>
      </c>
      <c r="C5350" s="2" t="s">
        <v>4947</v>
      </c>
      <c r="D5350" s="3" t="str">
        <f>HYPERLINK("https://12go.asia/en/travel/Ao-Nang-Hotel-Transfer/Phuket-Bus-Terminal-1", "12Go Link")</f>
        <v>12Go Link</v>
      </c>
      <c r="E5350" s="2" t="s">
        <v>4930</v>
      </c>
    </row>
    <row r="5351">
      <c r="A5351" s="2" t="s">
        <v>4948</v>
      </c>
      <c r="B5351" s="2" t="s">
        <v>226</v>
      </c>
      <c r="C5351" s="2" t="s">
        <v>4949</v>
      </c>
      <c r="D5351" s="3" t="str">
        <f>HYPERLINK("https://12go.asia/en/travel/aranyaprathet-poipet/phnom-penh", "12Go Link")</f>
        <v>12Go Link</v>
      </c>
      <c r="E5351" s="2" t="s">
        <v>25</v>
      </c>
    </row>
    <row r="5352">
      <c r="A5352" s="2" t="s">
        <v>4948</v>
      </c>
      <c r="B5352" s="2" t="s">
        <v>213</v>
      </c>
      <c r="C5352" s="2" t="s">
        <v>4950</v>
      </c>
      <c r="D5352" s="3" t="str">
        <f>HYPERLINK("https://12go.asia/en/travel/aranyaprathet-poipet/siem-reap", "12Go Link")</f>
        <v>12Go Link</v>
      </c>
      <c r="E5352" s="2" t="s">
        <v>25</v>
      </c>
    </row>
    <row r="5353">
      <c r="A5353" s="2" t="s">
        <v>4951</v>
      </c>
      <c r="B5353" s="2" t="s">
        <v>4952</v>
      </c>
      <c r="C5353" s="2" t="s">
        <v>4953</v>
      </c>
      <c r="D5353" s="3" t="str">
        <f>HYPERLINK("https://12go.asia/en/travel/Ayutthaya-Hotel-Transfer/Sukhothai-Hotel-Transfer", "12Go Link")</f>
        <v>12Go Link</v>
      </c>
      <c r="E5353" s="2" t="s">
        <v>4954</v>
      </c>
    </row>
    <row r="5354">
      <c r="A5354" s="2" t="s">
        <v>3850</v>
      </c>
      <c r="B5354" s="2" t="s">
        <v>4927</v>
      </c>
      <c r="C5354" s="2" t="s">
        <v>4955</v>
      </c>
      <c r="D5354" s="3" t="str">
        <f>HYPERLINK("https://12go.asia/en/travel/Khaosan-The-Twin-2000-Samsen-Rd/Ao-Nang", "12Go Link")</f>
        <v>12Go Link</v>
      </c>
      <c r="E5354" s="2" t="s">
        <v>4956</v>
      </c>
    </row>
    <row r="5355">
      <c r="A5355" s="2" t="s">
        <v>3850</v>
      </c>
      <c r="B5355" s="2" t="s">
        <v>4094</v>
      </c>
      <c r="C5355" s="2" t="s">
        <v>4957</v>
      </c>
      <c r="D5355" s="3" t="str">
        <f>HYPERLINK("https://12go.asia/en/travel/Don-Mueang-International-Airport/Chiang-Mai-Airport", "12Go Link")</f>
        <v>12Go Link</v>
      </c>
      <c r="E5355" s="2" t="s">
        <v>4958</v>
      </c>
    </row>
    <row r="5356">
      <c r="A5356" s="2" t="s">
        <v>3850</v>
      </c>
      <c r="B5356" s="2" t="s">
        <v>4097</v>
      </c>
      <c r="C5356" s="2" t="s">
        <v>4959</v>
      </c>
      <c r="D5356" s="3" t="str">
        <f>HYPERLINK("https://12go.asia/en/travel/Don-Mueang-International-Airport/Chiang-Rai-Airport", "12Go Link")</f>
        <v>12Go Link</v>
      </c>
      <c r="E5356" s="2" t="s">
        <v>4958</v>
      </c>
    </row>
    <row r="5357">
      <c r="A5357" s="2" t="s">
        <v>3850</v>
      </c>
      <c r="B5357" s="2" t="s">
        <v>4204</v>
      </c>
      <c r="C5357" s="2" t="s">
        <v>4960</v>
      </c>
      <c r="D5357" s="3" t="str">
        <f>HYPERLINK("https://12go.asia/en/travel/Khaosan-The-Twin-2000-Samsen-Rd/Hat-Yai-Van-Stop", "12Go Link")</f>
        <v>12Go Link</v>
      </c>
      <c r="E5357" s="2" t="s">
        <v>4956</v>
      </c>
    </row>
    <row r="5358">
      <c r="A5358" s="2" t="s">
        <v>3850</v>
      </c>
      <c r="B5358" s="2" t="s">
        <v>4961</v>
      </c>
      <c r="C5358" s="2" t="s">
        <v>4962</v>
      </c>
      <c r="D5358" s="3" t="str">
        <f>HYPERLINK("https://12go.asia/en/travel/Don-Mueang-International-Airport/Hua-Hin-Airport", "12Go Link")</f>
        <v>12Go Link</v>
      </c>
      <c r="E5358" s="2" t="s">
        <v>4958</v>
      </c>
    </row>
    <row r="5359">
      <c r="A5359" s="2" t="s">
        <v>3850</v>
      </c>
      <c r="B5359" s="2" t="s">
        <v>4963</v>
      </c>
      <c r="C5359" s="2" t="s">
        <v>4964</v>
      </c>
      <c r="D5359" s="3" t="str">
        <f>HYPERLINK("https://12go.asia/en/travel/Khaosan-The-Twin-2000-Samsen-Rd/Khao-Lak", "12Go Link")</f>
        <v>12Go Link</v>
      </c>
      <c r="E5359" s="2" t="s">
        <v>4956</v>
      </c>
    </row>
    <row r="5360">
      <c r="A5360" s="2" t="s">
        <v>3850</v>
      </c>
      <c r="B5360" s="2" t="s">
        <v>4928</v>
      </c>
      <c r="C5360" s="2" t="s">
        <v>4965</v>
      </c>
      <c r="D5360" s="3" t="str">
        <f>HYPERLINK("https://12go.asia/en/travel/Khaosan-The-Twin-2000-Samsen-Rd/Khao-Sok-van-station", "12Go Link")</f>
        <v>12Go Link</v>
      </c>
      <c r="E5360" s="2" t="s">
        <v>4956</v>
      </c>
    </row>
    <row r="5361">
      <c r="A5361" s="2" t="s">
        <v>3850</v>
      </c>
      <c r="B5361" s="2" t="s">
        <v>4966</v>
      </c>
      <c r="C5361" s="2" t="s">
        <v>4967</v>
      </c>
      <c r="D5361" s="3" t="str">
        <f t="shared" ref="D5361:D5363" si="904">HYPERLINK("https://12go.asia/en/travel/Bangkok-Transfer/Koh-Chang-Transfer", "12Go Link")</f>
        <v>12Go Link</v>
      </c>
      <c r="E5361" s="2" t="s">
        <v>4968</v>
      </c>
    </row>
    <row r="5362">
      <c r="A5362" s="2" t="s">
        <v>3850</v>
      </c>
      <c r="B5362" s="2" t="s">
        <v>4966</v>
      </c>
      <c r="C5362" s="2" t="s">
        <v>4967</v>
      </c>
      <c r="D5362" s="3" t="str">
        <f t="shared" si="904"/>
        <v>12Go Link</v>
      </c>
      <c r="E5362" s="2" t="s">
        <v>215</v>
      </c>
    </row>
    <row r="5363">
      <c r="A5363" s="2" t="s">
        <v>3850</v>
      </c>
      <c r="B5363" s="2" t="s">
        <v>4966</v>
      </c>
      <c r="C5363" s="2" t="s">
        <v>4967</v>
      </c>
      <c r="D5363" s="3" t="str">
        <f t="shared" si="904"/>
        <v>12Go Link</v>
      </c>
      <c r="E5363" s="2" t="s">
        <v>4119</v>
      </c>
    </row>
    <row r="5364">
      <c r="A5364" s="2" t="s">
        <v>3850</v>
      </c>
      <c r="B5364" s="2" t="s">
        <v>4969</v>
      </c>
      <c r="C5364" s="2" t="s">
        <v>4970</v>
      </c>
      <c r="D5364" s="3" t="str">
        <f>HYPERLINK("https://12go.asia/en/travel/Don-Mueang-International-Airport/Koh-Kood-Airfield", "12Go Link")</f>
        <v>12Go Link</v>
      </c>
      <c r="E5364" s="2" t="s">
        <v>4958</v>
      </c>
    </row>
    <row r="5365">
      <c r="A5365" s="2" t="s">
        <v>3850</v>
      </c>
      <c r="B5365" s="2" t="s">
        <v>4931</v>
      </c>
      <c r="C5365" s="2" t="s">
        <v>4971</v>
      </c>
      <c r="D5365" s="3" t="str">
        <f>HYPERLINK("https://12go.asia/en/travel/Khaosan-The-Twin-2000-Samsen-Rd/Hua-Hin-Pier", "12Go Link")</f>
        <v>12Go Link</v>
      </c>
      <c r="E5365" s="2" t="s">
        <v>4956</v>
      </c>
    </row>
    <row r="5366">
      <c r="A5366" s="2" t="s">
        <v>3850</v>
      </c>
      <c r="B5366" s="2" t="s">
        <v>4937</v>
      </c>
      <c r="C5366" s="2" t="s">
        <v>4972</v>
      </c>
      <c r="D5366" s="3" t="str">
        <f>HYPERLINK("https://12go.asia/en/travel/Khaosan-The-Twin-2000-Samsen-Rd/Thong-Sala-Koh-Phangan", "12Go Link")</f>
        <v>12Go Link</v>
      </c>
      <c r="E5366" s="2" t="s">
        <v>4973</v>
      </c>
    </row>
    <row r="5367">
      <c r="A5367" s="2" t="s">
        <v>3850</v>
      </c>
      <c r="B5367" s="2" t="s">
        <v>4939</v>
      </c>
      <c r="C5367" s="2" t="s">
        <v>4974</v>
      </c>
      <c r="D5367" s="3" t="str">
        <f>HYPERLINK("https://12go.asia/en/travel/Khaosan-The-Twin-2000-Samsen-Rd/Ton-Sai-Pier-Koh-Phi-Phi", "12Go Link")</f>
        <v>12Go Link</v>
      </c>
      <c r="E5367" s="2" t="s">
        <v>4975</v>
      </c>
    </row>
    <row r="5368">
      <c r="A5368" s="2" t="s">
        <v>3850</v>
      </c>
      <c r="B5368" s="2" t="s">
        <v>4945</v>
      </c>
      <c r="C5368" s="2" t="s">
        <v>4976</v>
      </c>
      <c r="D5368" s="3" t="str">
        <f>HYPERLINK("https://12go.asia/en/travel/Don-Mueang-International-Airport/Samui-Airport", "12Go Link")</f>
        <v>12Go Link</v>
      </c>
      <c r="E5368" s="2" t="s">
        <v>4958</v>
      </c>
    </row>
    <row r="5369">
      <c r="A5369" s="2" t="s">
        <v>3850</v>
      </c>
      <c r="B5369" s="2" t="s">
        <v>4945</v>
      </c>
      <c r="C5369" s="2" t="s">
        <v>4977</v>
      </c>
      <c r="D5369" s="3" t="str">
        <f>HYPERLINK("https://12go.asia/en/travel/Khaosan-The-Twin-2000-Samsen-Rd/Na-Thon-Koh-Samui", "12Go Link")</f>
        <v>12Go Link</v>
      </c>
      <c r="E5369" s="2" t="s">
        <v>4973</v>
      </c>
    </row>
    <row r="5370">
      <c r="A5370" s="2" t="s">
        <v>3850</v>
      </c>
      <c r="B5370" s="2" t="s">
        <v>4978</v>
      </c>
      <c r="C5370" s="2" t="s">
        <v>4979</v>
      </c>
      <c r="D5370" s="3" t="str">
        <f>HYPERLINK("https://12go.asia/en/travel/Khaosan-The-Twin-2000-Samsen-Rd/Koh-Tao-Night-Boat-Pier", "12Go Link")</f>
        <v>12Go Link</v>
      </c>
      <c r="E5370" s="2" t="s">
        <v>4980</v>
      </c>
    </row>
    <row r="5371">
      <c r="A5371" s="2" t="s">
        <v>3850</v>
      </c>
      <c r="B5371" s="2" t="s">
        <v>4224</v>
      </c>
      <c r="C5371" s="2" t="s">
        <v>4981</v>
      </c>
      <c r="D5371" s="3" t="str">
        <f>HYPERLINK("https://12go.asia/en/travel/Khaosan-The-Twin-2000-Samsen-Rd/Klong-Jilard-Pier", "12Go Link")</f>
        <v>12Go Link</v>
      </c>
      <c r="E5371" s="2" t="s">
        <v>4956</v>
      </c>
    </row>
    <row r="5372">
      <c r="A5372" s="2" t="s">
        <v>3850</v>
      </c>
      <c r="B5372" s="2" t="s">
        <v>4224</v>
      </c>
      <c r="C5372" s="2" t="s">
        <v>4982</v>
      </c>
      <c r="D5372" s="3" t="str">
        <f>HYPERLINK("https://12go.asia/en/travel/Khaosan-The-Twin-2000-Samsen-Rd/Railey", "12Go Link")</f>
        <v>12Go Link</v>
      </c>
      <c r="E5372" s="2" t="s">
        <v>4975</v>
      </c>
    </row>
    <row r="5373">
      <c r="A5373" s="2" t="s">
        <v>3850</v>
      </c>
      <c r="B5373" s="2" t="s">
        <v>4146</v>
      </c>
      <c r="C5373" s="2" t="s">
        <v>4983</v>
      </c>
      <c r="D5373" s="3" t="str">
        <f t="shared" ref="D5373:D5375" si="905">HYPERLINK("https://12go.asia/en/travel/Bangkok-Transfer/Phimai", "12Go Link")</f>
        <v>12Go Link</v>
      </c>
      <c r="E5373" s="2" t="s">
        <v>4984</v>
      </c>
    </row>
    <row r="5374">
      <c r="A5374" s="2" t="s">
        <v>3850</v>
      </c>
      <c r="B5374" s="2" t="s">
        <v>4146</v>
      </c>
      <c r="C5374" s="2" t="s">
        <v>4983</v>
      </c>
      <c r="D5374" s="3" t="str">
        <f t="shared" si="905"/>
        <v>12Go Link</v>
      </c>
      <c r="E5374" s="2" t="s">
        <v>4985</v>
      </c>
    </row>
    <row r="5375">
      <c r="A5375" s="2" t="s">
        <v>3850</v>
      </c>
      <c r="B5375" s="2" t="s">
        <v>4146</v>
      </c>
      <c r="C5375" s="2" t="s">
        <v>4983</v>
      </c>
      <c r="D5375" s="3" t="str">
        <f t="shared" si="905"/>
        <v>12Go Link</v>
      </c>
      <c r="E5375" s="2" t="s">
        <v>4986</v>
      </c>
    </row>
    <row r="5376">
      <c r="A5376" s="2" t="s">
        <v>3850</v>
      </c>
      <c r="B5376" s="2" t="s">
        <v>302</v>
      </c>
      <c r="C5376" s="2" t="s">
        <v>4987</v>
      </c>
      <c r="D5376" s="3" t="str">
        <f t="shared" ref="D5376:D5378" si="906">HYPERLINK("https://12go.asia/en/travel/Bangkok-Transfer/Pattaya-Town", "12Go Link")</f>
        <v>12Go Link</v>
      </c>
      <c r="E5376" s="2" t="s">
        <v>4968</v>
      </c>
    </row>
    <row r="5377">
      <c r="A5377" s="2" t="s">
        <v>3850</v>
      </c>
      <c r="B5377" s="2" t="s">
        <v>302</v>
      </c>
      <c r="C5377" s="2" t="s">
        <v>4987</v>
      </c>
      <c r="D5377" s="3" t="str">
        <f t="shared" si="906"/>
        <v>12Go Link</v>
      </c>
      <c r="E5377" s="2" t="s">
        <v>215</v>
      </c>
    </row>
    <row r="5378">
      <c r="A5378" s="2" t="s">
        <v>3850</v>
      </c>
      <c r="B5378" s="2" t="s">
        <v>302</v>
      </c>
      <c r="C5378" s="2" t="s">
        <v>4987</v>
      </c>
      <c r="D5378" s="3" t="str">
        <f t="shared" si="906"/>
        <v>12Go Link</v>
      </c>
      <c r="E5378" s="2" t="s">
        <v>4119</v>
      </c>
    </row>
    <row r="5379">
      <c r="A5379" s="2" t="s">
        <v>3850</v>
      </c>
      <c r="B5379" s="2" t="s">
        <v>4988</v>
      </c>
      <c r="C5379" s="2" t="s">
        <v>4989</v>
      </c>
      <c r="D5379" s="3" t="str">
        <f>HYPERLINK("https://12go.asia/en/travel/bangkok/phu-sa-dok-bua-national-park", "12Go Link")</f>
        <v>12Go Link</v>
      </c>
      <c r="E5379" s="2" t="s">
        <v>25</v>
      </c>
    </row>
    <row r="5380">
      <c r="A5380" s="2" t="s">
        <v>3850</v>
      </c>
      <c r="B5380" s="2" t="s">
        <v>4228</v>
      </c>
      <c r="C5380" s="2" t="s">
        <v>4990</v>
      </c>
      <c r="D5380" s="3" t="str">
        <f>HYPERLINK("https://12go.asia/en/travel/Don-Mueang-International-Airport/Phuket-Airport", "12Go Link")</f>
        <v>12Go Link</v>
      </c>
      <c r="E5380" s="2" t="s">
        <v>4958</v>
      </c>
    </row>
    <row r="5381">
      <c r="A5381" s="2" t="s">
        <v>3850</v>
      </c>
      <c r="B5381" s="2" t="s">
        <v>4228</v>
      </c>
      <c r="C5381" s="2" t="s">
        <v>4991</v>
      </c>
      <c r="D5381" s="3" t="str">
        <f>HYPERLINK("https://12go.asia/en/travel/Khaosan-The-Twin-2000-Samsen-Rd/Phuket-Bus-Terminal-2", "12Go Link")</f>
        <v>12Go Link</v>
      </c>
      <c r="E5381" s="2" t="s">
        <v>4956</v>
      </c>
    </row>
    <row r="5382">
      <c r="A5382" s="2" t="s">
        <v>3850</v>
      </c>
      <c r="B5382" s="2" t="s">
        <v>4992</v>
      </c>
      <c r="C5382" s="2" t="s">
        <v>4993</v>
      </c>
      <c r="D5382" s="3" t="str">
        <f>HYPERLINK("https://12go.asia/en/travel/Don-Mueang-International-Airport/Utapao-Airport", "12Go Link")</f>
        <v>12Go Link</v>
      </c>
      <c r="E5382" s="2" t="s">
        <v>4958</v>
      </c>
    </row>
    <row r="5383">
      <c r="A5383" s="2" t="s">
        <v>3850</v>
      </c>
      <c r="B5383" s="2" t="s">
        <v>4994</v>
      </c>
      <c r="C5383" s="2" t="s">
        <v>4995</v>
      </c>
      <c r="D5383" s="3" t="str">
        <f>HYPERLINK("https://12go.asia/en/travel/Krung-Thep-Aphiwat-Central-Terminal-Station/Surat-Thani-Train-Station", "12Go Link")</f>
        <v>12Go Link</v>
      </c>
      <c r="E5383" s="2" t="s">
        <v>4996</v>
      </c>
    </row>
    <row r="5384">
      <c r="A5384" s="2" t="s">
        <v>3850</v>
      </c>
      <c r="B5384" s="2" t="s">
        <v>4232</v>
      </c>
      <c r="C5384" s="2" t="s">
        <v>4997</v>
      </c>
      <c r="D5384" s="3" t="str">
        <f>HYPERLINK("https://12go.asia/en/travel/Khaosan-The-Twin-2000-Samsen-Rd/Trang", "12Go Link")</f>
        <v>12Go Link</v>
      </c>
      <c r="E5384" s="2" t="s">
        <v>4956</v>
      </c>
    </row>
    <row r="5385">
      <c r="A5385" s="2" t="s">
        <v>4094</v>
      </c>
      <c r="B5385" s="2" t="s">
        <v>4084</v>
      </c>
      <c r="C5385" s="2" t="s">
        <v>4998</v>
      </c>
      <c r="D5385" s="3" t="str">
        <f>HYPERLINK("https://12go.asia/en/travel/Chiang-Mai/Huay-Xai", "12Go Link")</f>
        <v>12Go Link</v>
      </c>
      <c r="E5385" s="2" t="s">
        <v>4999</v>
      </c>
    </row>
    <row r="5386">
      <c r="A5386" s="2" t="s">
        <v>4094</v>
      </c>
      <c r="B5386" s="2" t="s">
        <v>1978</v>
      </c>
      <c r="C5386" s="2" t="s">
        <v>5000</v>
      </c>
      <c r="D5386" s="3" t="str">
        <f>HYPERLINK("https://12go.asia/en/travel/Chiang-Mai/Luang-Prabang", "12Go Link")</f>
        <v>12Go Link</v>
      </c>
      <c r="E5386" s="2" t="s">
        <v>5001</v>
      </c>
    </row>
    <row r="5387">
      <c r="A5387" s="2" t="s">
        <v>4094</v>
      </c>
      <c r="B5387" s="2" t="s">
        <v>3850</v>
      </c>
      <c r="C5387" s="2" t="s">
        <v>5002</v>
      </c>
      <c r="D5387" s="3" t="str">
        <f>HYPERLINK("https://12go.asia/en/travel/Chiang-Mai-Airport/Don-Mueang-International-Airport", "12Go Link")</f>
        <v>12Go Link</v>
      </c>
      <c r="E5387" s="2" t="s">
        <v>4958</v>
      </c>
    </row>
    <row r="5388">
      <c r="A5388" s="2" t="s">
        <v>4094</v>
      </c>
      <c r="B5388" s="2" t="s">
        <v>4097</v>
      </c>
      <c r="C5388" s="2" t="s">
        <v>5003</v>
      </c>
      <c r="D5388" s="3" t="str">
        <f>HYPERLINK("https://12go.asia/en/travel/Chiang-Mai-Transfer/Chiang-Rai-Bus-Terminal-2", "12Go Link")</f>
        <v>12Go Link</v>
      </c>
      <c r="E5388" s="2" t="s">
        <v>8</v>
      </c>
    </row>
    <row r="5389">
      <c r="A5389" s="2" t="s">
        <v>4094</v>
      </c>
      <c r="B5389" s="2" t="s">
        <v>4952</v>
      </c>
      <c r="C5389" s="2" t="s">
        <v>5004</v>
      </c>
      <c r="D5389" s="3" t="str">
        <f>HYPERLINK("https://12go.asia/en/travel/Chiang-Mai-Transfer/Sukhothai-Hotel-Transfer", "12Go Link")</f>
        <v>12Go Link</v>
      </c>
      <c r="E5389" s="2" t="s">
        <v>4954</v>
      </c>
    </row>
    <row r="5390">
      <c r="A5390" s="2" t="s">
        <v>4097</v>
      </c>
      <c r="B5390" s="2" t="s">
        <v>4084</v>
      </c>
      <c r="C5390" s="2" t="s">
        <v>5005</v>
      </c>
      <c r="D5390" s="3" t="str">
        <f>HYPERLINK("https://12go.asia/en/travel/Chiang-Rai/Huay-Xai", "12Go Link")</f>
        <v>12Go Link</v>
      </c>
      <c r="E5390" s="2" t="s">
        <v>4999</v>
      </c>
    </row>
    <row r="5391">
      <c r="A5391" s="2" t="s">
        <v>4097</v>
      </c>
      <c r="B5391" s="2" t="s">
        <v>1978</v>
      </c>
      <c r="C5391" s="2" t="s">
        <v>5006</v>
      </c>
      <c r="D5391" s="3" t="str">
        <f>HYPERLINK("https://12go.asia/en/travel/Chiang-Rai/Luang-Prabang", "12Go Link")</f>
        <v>12Go Link</v>
      </c>
      <c r="E5391" s="2" t="s">
        <v>5001</v>
      </c>
    </row>
    <row r="5392">
      <c r="A5392" s="2" t="s">
        <v>4097</v>
      </c>
      <c r="B5392" s="2" t="s">
        <v>3850</v>
      </c>
      <c r="C5392" s="2" t="s">
        <v>5007</v>
      </c>
      <c r="D5392" s="3" t="str">
        <f>HYPERLINK("https://12go.asia/en/travel/Chiang-Rai-Airport/Don-Mueang-International-Airport", "12Go Link")</f>
        <v>12Go Link</v>
      </c>
      <c r="E5392" s="2" t="s">
        <v>4958</v>
      </c>
    </row>
    <row r="5393">
      <c r="A5393" s="2" t="s">
        <v>5008</v>
      </c>
      <c r="B5393" s="2" t="s">
        <v>5009</v>
      </c>
      <c r="C5393" s="2" t="s">
        <v>5010</v>
      </c>
      <c r="D5393" s="3" t="str">
        <f t="shared" ref="D5393:D5396" si="907">HYPERLINK("https://12go.asia/en/travel/Don-Mueang-Airport/Donsak-Piers", "12Go Link")</f>
        <v>12Go Link</v>
      </c>
      <c r="E5393" s="2" t="s">
        <v>4968</v>
      </c>
    </row>
    <row r="5394">
      <c r="A5394" s="2" t="s">
        <v>5008</v>
      </c>
      <c r="B5394" s="2" t="s">
        <v>5009</v>
      </c>
      <c r="C5394" s="2" t="s">
        <v>5010</v>
      </c>
      <c r="D5394" s="3" t="str">
        <f t="shared" si="907"/>
        <v>12Go Link</v>
      </c>
      <c r="E5394" s="2" t="s">
        <v>5011</v>
      </c>
    </row>
    <row r="5395">
      <c r="A5395" s="2" t="s">
        <v>5008</v>
      </c>
      <c r="B5395" s="2" t="s">
        <v>5009</v>
      </c>
      <c r="C5395" s="2" t="s">
        <v>5010</v>
      </c>
      <c r="D5395" s="3" t="str">
        <f t="shared" si="907"/>
        <v>12Go Link</v>
      </c>
      <c r="E5395" s="2" t="s">
        <v>215</v>
      </c>
    </row>
    <row r="5396">
      <c r="A5396" s="2" t="s">
        <v>5008</v>
      </c>
      <c r="B5396" s="2" t="s">
        <v>5009</v>
      </c>
      <c r="C5396" s="2" t="s">
        <v>5010</v>
      </c>
      <c r="D5396" s="3" t="str">
        <f t="shared" si="907"/>
        <v>12Go Link</v>
      </c>
      <c r="E5396" s="2" t="s">
        <v>4119</v>
      </c>
    </row>
    <row r="5397">
      <c r="A5397" s="2" t="s">
        <v>5008</v>
      </c>
      <c r="B5397" s="2" t="s">
        <v>4966</v>
      </c>
      <c r="C5397" s="2" t="s">
        <v>5012</v>
      </c>
      <c r="D5397" s="3" t="str">
        <f t="shared" ref="D5397:D5399" si="908">HYPERLINK("https://12go.asia/en/travel/Don-Mueang-Airport/Koh-Chang-Transfer", "12Go Link")</f>
        <v>12Go Link</v>
      </c>
      <c r="E5397" s="2" t="s">
        <v>4968</v>
      </c>
    </row>
    <row r="5398">
      <c r="A5398" s="2" t="s">
        <v>5008</v>
      </c>
      <c r="B5398" s="2" t="s">
        <v>4966</v>
      </c>
      <c r="C5398" s="2" t="s">
        <v>5012</v>
      </c>
      <c r="D5398" s="3" t="str">
        <f t="shared" si="908"/>
        <v>12Go Link</v>
      </c>
      <c r="E5398" s="2" t="s">
        <v>215</v>
      </c>
    </row>
    <row r="5399">
      <c r="A5399" s="2" t="s">
        <v>5008</v>
      </c>
      <c r="B5399" s="2" t="s">
        <v>4966</v>
      </c>
      <c r="C5399" s="2" t="s">
        <v>5012</v>
      </c>
      <c r="D5399" s="3" t="str">
        <f t="shared" si="908"/>
        <v>12Go Link</v>
      </c>
      <c r="E5399" s="2" t="s">
        <v>4119</v>
      </c>
    </row>
    <row r="5400">
      <c r="A5400" s="2" t="s">
        <v>5009</v>
      </c>
      <c r="B5400" s="2" t="s">
        <v>5008</v>
      </c>
      <c r="C5400" s="2" t="s">
        <v>5013</v>
      </c>
      <c r="D5400" s="3" t="str">
        <f t="shared" ref="D5400:D5403" si="909">HYPERLINK("https://12go.asia/en/travel/Donsak-Piers/Don-Mueang-Airport", "12Go Link")</f>
        <v>12Go Link</v>
      </c>
      <c r="E5400" s="2" t="s">
        <v>4968</v>
      </c>
    </row>
    <row r="5401">
      <c r="A5401" s="2" t="s">
        <v>5009</v>
      </c>
      <c r="B5401" s="2" t="s">
        <v>5008</v>
      </c>
      <c r="C5401" s="2" t="s">
        <v>5013</v>
      </c>
      <c r="D5401" s="3" t="str">
        <f t="shared" si="909"/>
        <v>12Go Link</v>
      </c>
      <c r="E5401" s="2" t="s">
        <v>5011</v>
      </c>
    </row>
    <row r="5402">
      <c r="A5402" s="2" t="s">
        <v>5009</v>
      </c>
      <c r="B5402" s="2" t="s">
        <v>5008</v>
      </c>
      <c r="C5402" s="2" t="s">
        <v>5013</v>
      </c>
      <c r="D5402" s="3" t="str">
        <f t="shared" si="909"/>
        <v>12Go Link</v>
      </c>
      <c r="E5402" s="2" t="s">
        <v>215</v>
      </c>
    </row>
    <row r="5403">
      <c r="A5403" s="2" t="s">
        <v>5009</v>
      </c>
      <c r="B5403" s="2" t="s">
        <v>5008</v>
      </c>
      <c r="C5403" s="2" t="s">
        <v>5013</v>
      </c>
      <c r="D5403" s="3" t="str">
        <f t="shared" si="909"/>
        <v>12Go Link</v>
      </c>
      <c r="E5403" s="2" t="s">
        <v>4119</v>
      </c>
    </row>
    <row r="5404">
      <c r="A5404" s="2" t="s">
        <v>5009</v>
      </c>
      <c r="B5404" s="2" t="s">
        <v>302</v>
      </c>
      <c r="C5404" s="2" t="s">
        <v>5014</v>
      </c>
      <c r="D5404" s="3" t="str">
        <f t="shared" ref="D5404:D5407" si="910">HYPERLINK("https://12go.asia/en/travel/Donsak-Piers/Pattaya-Hotel-Transfer", "12Go Link")</f>
        <v>12Go Link</v>
      </c>
      <c r="E5404" s="2" t="s">
        <v>4968</v>
      </c>
    </row>
    <row r="5405">
      <c r="A5405" s="2" t="s">
        <v>5009</v>
      </c>
      <c r="B5405" s="2" t="s">
        <v>302</v>
      </c>
      <c r="C5405" s="2" t="s">
        <v>5014</v>
      </c>
      <c r="D5405" s="3" t="str">
        <f t="shared" si="910"/>
        <v>12Go Link</v>
      </c>
      <c r="E5405" s="2" t="s">
        <v>5011</v>
      </c>
    </row>
    <row r="5406">
      <c r="A5406" s="2" t="s">
        <v>5009</v>
      </c>
      <c r="B5406" s="2" t="s">
        <v>302</v>
      </c>
      <c r="C5406" s="2" t="s">
        <v>5014</v>
      </c>
      <c r="D5406" s="3" t="str">
        <f t="shared" si="910"/>
        <v>12Go Link</v>
      </c>
      <c r="E5406" s="2" t="s">
        <v>215</v>
      </c>
    </row>
    <row r="5407">
      <c r="A5407" s="2" t="s">
        <v>5009</v>
      </c>
      <c r="B5407" s="2" t="s">
        <v>302</v>
      </c>
      <c r="C5407" s="2" t="s">
        <v>5014</v>
      </c>
      <c r="D5407" s="3" t="str">
        <f t="shared" si="910"/>
        <v>12Go Link</v>
      </c>
      <c r="E5407" s="2" t="s">
        <v>4119</v>
      </c>
    </row>
    <row r="5408">
      <c r="A5408" s="2" t="s">
        <v>5009</v>
      </c>
      <c r="B5408" s="2" t="s">
        <v>5015</v>
      </c>
      <c r="C5408" s="2" t="s">
        <v>5016</v>
      </c>
      <c r="D5408" s="3" t="str">
        <f t="shared" ref="D5408:D5411" si="911">HYPERLINK("https://12go.asia/en/travel/Donsak-Piers/Suvarnabhumi-Airport", "12Go Link")</f>
        <v>12Go Link</v>
      </c>
      <c r="E5408" s="2" t="s">
        <v>4968</v>
      </c>
    </row>
    <row r="5409">
      <c r="A5409" s="2" t="s">
        <v>5009</v>
      </c>
      <c r="B5409" s="2" t="s">
        <v>5015</v>
      </c>
      <c r="C5409" s="2" t="s">
        <v>5016</v>
      </c>
      <c r="D5409" s="3" t="str">
        <f t="shared" si="911"/>
        <v>12Go Link</v>
      </c>
      <c r="E5409" s="2" t="s">
        <v>5011</v>
      </c>
    </row>
    <row r="5410">
      <c r="A5410" s="2" t="s">
        <v>5009</v>
      </c>
      <c r="B5410" s="2" t="s">
        <v>5015</v>
      </c>
      <c r="C5410" s="2" t="s">
        <v>5016</v>
      </c>
      <c r="D5410" s="3" t="str">
        <f t="shared" si="911"/>
        <v>12Go Link</v>
      </c>
      <c r="E5410" s="2" t="s">
        <v>215</v>
      </c>
    </row>
    <row r="5411">
      <c r="A5411" s="2" t="s">
        <v>5009</v>
      </c>
      <c r="B5411" s="2" t="s">
        <v>5015</v>
      </c>
      <c r="C5411" s="2" t="s">
        <v>5016</v>
      </c>
      <c r="D5411" s="3" t="str">
        <f t="shared" si="911"/>
        <v>12Go Link</v>
      </c>
      <c r="E5411" s="2" t="s">
        <v>4119</v>
      </c>
    </row>
    <row r="5412">
      <c r="A5412" s="2" t="s">
        <v>4204</v>
      </c>
      <c r="B5412" s="2" t="s">
        <v>4927</v>
      </c>
      <c r="C5412" s="2" t="s">
        <v>5017</v>
      </c>
      <c r="D5412" s="3" t="str">
        <f>HYPERLINK("https://12go.asia/en/travel/Hat-Yai-Bus-Terminal/Ao-Nang-Transfer", "12Go Link")</f>
        <v>12Go Link</v>
      </c>
      <c r="E5412" s="2" t="s">
        <v>5018</v>
      </c>
    </row>
    <row r="5413">
      <c r="A5413" s="2" t="s">
        <v>4204</v>
      </c>
      <c r="B5413" s="2" t="s">
        <v>5009</v>
      </c>
      <c r="C5413" s="2" t="s">
        <v>5019</v>
      </c>
      <c r="D5413" s="3" t="str">
        <f t="shared" ref="D5413:D5416" si="912">HYPERLINK("https://12go.asia/en/travel/Hat-Yai-Hotel-Transfer/Donsak-Piers", "12Go Link")</f>
        <v>12Go Link</v>
      </c>
      <c r="E5413" s="2" t="s">
        <v>4968</v>
      </c>
    </row>
    <row r="5414">
      <c r="A5414" s="2" t="s">
        <v>4204</v>
      </c>
      <c r="B5414" s="2" t="s">
        <v>5009</v>
      </c>
      <c r="C5414" s="2" t="s">
        <v>5019</v>
      </c>
      <c r="D5414" s="3" t="str">
        <f t="shared" si="912"/>
        <v>12Go Link</v>
      </c>
      <c r="E5414" s="2" t="s">
        <v>5011</v>
      </c>
    </row>
    <row r="5415">
      <c r="A5415" s="2" t="s">
        <v>4204</v>
      </c>
      <c r="B5415" s="2" t="s">
        <v>5009</v>
      </c>
      <c r="C5415" s="2" t="s">
        <v>5019</v>
      </c>
      <c r="D5415" s="3" t="str">
        <f t="shared" si="912"/>
        <v>12Go Link</v>
      </c>
      <c r="E5415" s="2" t="s">
        <v>215</v>
      </c>
    </row>
    <row r="5416">
      <c r="A5416" s="2" t="s">
        <v>4204</v>
      </c>
      <c r="B5416" s="2" t="s">
        <v>5009</v>
      </c>
      <c r="C5416" s="2" t="s">
        <v>5019</v>
      </c>
      <c r="D5416" s="3" t="str">
        <f t="shared" si="912"/>
        <v>12Go Link</v>
      </c>
      <c r="E5416" s="2" t="s">
        <v>4119</v>
      </c>
    </row>
    <row r="5417">
      <c r="A5417" s="2" t="s">
        <v>4961</v>
      </c>
      <c r="B5417" s="2" t="s">
        <v>4927</v>
      </c>
      <c r="C5417" s="2" t="s">
        <v>5020</v>
      </c>
      <c r="D5417" s="3" t="str">
        <f t="shared" ref="D5417:D5420" si="913">HYPERLINK("https://12go.asia/en/travel/Hua-Hin-Hotel-Transfer/Ao-Nang-Transfer-except-Krabi-Town-and-Railay", "12Go Link")</f>
        <v>12Go Link</v>
      </c>
      <c r="E5417" s="2" t="s">
        <v>4968</v>
      </c>
    </row>
    <row r="5418">
      <c r="A5418" s="2" t="s">
        <v>4961</v>
      </c>
      <c r="B5418" s="2" t="s">
        <v>4927</v>
      </c>
      <c r="C5418" s="2" t="s">
        <v>5020</v>
      </c>
      <c r="D5418" s="3" t="str">
        <f t="shared" si="913"/>
        <v>12Go Link</v>
      </c>
      <c r="E5418" s="2" t="s">
        <v>5011</v>
      </c>
    </row>
    <row r="5419">
      <c r="A5419" s="2" t="s">
        <v>4961</v>
      </c>
      <c r="B5419" s="2" t="s">
        <v>4927</v>
      </c>
      <c r="C5419" s="2" t="s">
        <v>5020</v>
      </c>
      <c r="D5419" s="3" t="str">
        <f t="shared" si="913"/>
        <v>12Go Link</v>
      </c>
      <c r="E5419" s="2" t="s">
        <v>215</v>
      </c>
    </row>
    <row r="5420">
      <c r="A5420" s="2" t="s">
        <v>4961</v>
      </c>
      <c r="B5420" s="2" t="s">
        <v>4927</v>
      </c>
      <c r="C5420" s="2" t="s">
        <v>5020</v>
      </c>
      <c r="D5420" s="3" t="str">
        <f t="shared" si="913"/>
        <v>12Go Link</v>
      </c>
      <c r="E5420" s="2" t="s">
        <v>4119</v>
      </c>
    </row>
    <row r="5421">
      <c r="A5421" s="2" t="s">
        <v>4961</v>
      </c>
      <c r="B5421" s="2" t="s">
        <v>3850</v>
      </c>
      <c r="C5421" s="2" t="s">
        <v>5021</v>
      </c>
      <c r="D5421" s="3" t="str">
        <f>HYPERLINK("https://12go.asia/en/travel/Hua-Hin-Airport/Don-Mueang-International-Airport", "12Go Link")</f>
        <v>12Go Link</v>
      </c>
      <c r="E5421" s="2" t="s">
        <v>4958</v>
      </c>
    </row>
    <row r="5422">
      <c r="A5422" s="2" t="s">
        <v>4961</v>
      </c>
      <c r="B5422" s="2" t="s">
        <v>4963</v>
      </c>
      <c r="C5422" s="2" t="s">
        <v>5022</v>
      </c>
      <c r="D5422" s="3" t="str">
        <f t="shared" ref="D5422:D5425" si="914">HYPERLINK("https://12go.asia/en/travel/Hua-Hin-Hotel-Transfer/Khao-Lak-Transfer", "12Go Link")</f>
        <v>12Go Link</v>
      </c>
      <c r="E5422" s="2" t="s">
        <v>4968</v>
      </c>
    </row>
    <row r="5423">
      <c r="A5423" s="2" t="s">
        <v>4961</v>
      </c>
      <c r="B5423" s="2" t="s">
        <v>4963</v>
      </c>
      <c r="C5423" s="2" t="s">
        <v>5022</v>
      </c>
      <c r="D5423" s="3" t="str">
        <f t="shared" si="914"/>
        <v>12Go Link</v>
      </c>
      <c r="E5423" s="2" t="s">
        <v>5011</v>
      </c>
    </row>
    <row r="5424">
      <c r="A5424" s="2" t="s">
        <v>4961</v>
      </c>
      <c r="B5424" s="2" t="s">
        <v>4963</v>
      </c>
      <c r="C5424" s="2" t="s">
        <v>5022</v>
      </c>
      <c r="D5424" s="3" t="str">
        <f t="shared" si="914"/>
        <v>12Go Link</v>
      </c>
      <c r="E5424" s="2" t="s">
        <v>215</v>
      </c>
    </row>
    <row r="5425">
      <c r="A5425" s="2" t="s">
        <v>4961</v>
      </c>
      <c r="B5425" s="2" t="s">
        <v>4963</v>
      </c>
      <c r="C5425" s="2" t="s">
        <v>5022</v>
      </c>
      <c r="D5425" s="3" t="str">
        <f t="shared" si="914"/>
        <v>12Go Link</v>
      </c>
      <c r="E5425" s="2" t="s">
        <v>4119</v>
      </c>
    </row>
    <row r="5426">
      <c r="A5426" s="2" t="s">
        <v>4961</v>
      </c>
      <c r="B5426" s="2" t="s">
        <v>4931</v>
      </c>
      <c r="C5426" s="2" t="s">
        <v>5023</v>
      </c>
      <c r="D5426" s="3" t="str">
        <f t="shared" ref="D5426:D5429" si="915">HYPERLINK("https://12go.asia/en/travel/Hua-Hin-Hotel-Transfer/Koh-Lanta-Hotel-Transfer", "12Go Link")</f>
        <v>12Go Link</v>
      </c>
      <c r="E5426" s="2" t="s">
        <v>4968</v>
      </c>
    </row>
    <row r="5427">
      <c r="A5427" s="2" t="s">
        <v>4961</v>
      </c>
      <c r="B5427" s="2" t="s">
        <v>4931</v>
      </c>
      <c r="C5427" s="2" t="s">
        <v>5023</v>
      </c>
      <c r="D5427" s="3" t="str">
        <f t="shared" si="915"/>
        <v>12Go Link</v>
      </c>
      <c r="E5427" s="2" t="s">
        <v>5011</v>
      </c>
    </row>
    <row r="5428">
      <c r="A5428" s="2" t="s">
        <v>4961</v>
      </c>
      <c r="B5428" s="2" t="s">
        <v>4931</v>
      </c>
      <c r="C5428" s="2" t="s">
        <v>5023</v>
      </c>
      <c r="D5428" s="3" t="str">
        <f t="shared" si="915"/>
        <v>12Go Link</v>
      </c>
      <c r="E5428" s="2" t="s">
        <v>215</v>
      </c>
    </row>
    <row r="5429">
      <c r="A5429" s="2" t="s">
        <v>4961</v>
      </c>
      <c r="B5429" s="2" t="s">
        <v>4931</v>
      </c>
      <c r="C5429" s="2" t="s">
        <v>5023</v>
      </c>
      <c r="D5429" s="3" t="str">
        <f t="shared" si="915"/>
        <v>12Go Link</v>
      </c>
      <c r="E5429" s="2" t="s">
        <v>4119</v>
      </c>
    </row>
    <row r="5430">
      <c r="A5430" s="2" t="s">
        <v>4961</v>
      </c>
      <c r="B5430" s="2" t="s">
        <v>4224</v>
      </c>
      <c r="C5430" s="2" t="s">
        <v>5024</v>
      </c>
      <c r="D5430" s="3" t="str">
        <f t="shared" ref="D5430:D5433" si="916">HYPERLINK("https://12go.asia/en/travel/Hua-Hin-Hotel-Transfer/Krabi-Town-Hotel-Transfer", "12Go Link")</f>
        <v>12Go Link</v>
      </c>
      <c r="E5430" s="2" t="s">
        <v>4968</v>
      </c>
    </row>
    <row r="5431">
      <c r="A5431" s="2" t="s">
        <v>4961</v>
      </c>
      <c r="B5431" s="2" t="s">
        <v>4224</v>
      </c>
      <c r="C5431" s="2" t="s">
        <v>5024</v>
      </c>
      <c r="D5431" s="3" t="str">
        <f t="shared" si="916"/>
        <v>12Go Link</v>
      </c>
      <c r="E5431" s="2" t="s">
        <v>5011</v>
      </c>
    </row>
    <row r="5432">
      <c r="A5432" s="2" t="s">
        <v>4961</v>
      </c>
      <c r="B5432" s="2" t="s">
        <v>4224</v>
      </c>
      <c r="C5432" s="2" t="s">
        <v>5024</v>
      </c>
      <c r="D5432" s="3" t="str">
        <f t="shared" si="916"/>
        <v>12Go Link</v>
      </c>
      <c r="E5432" s="2" t="s">
        <v>215</v>
      </c>
    </row>
    <row r="5433">
      <c r="A5433" s="2" t="s">
        <v>4961</v>
      </c>
      <c r="B5433" s="2" t="s">
        <v>4224</v>
      </c>
      <c r="C5433" s="2" t="s">
        <v>5024</v>
      </c>
      <c r="D5433" s="3" t="str">
        <f t="shared" si="916"/>
        <v>12Go Link</v>
      </c>
      <c r="E5433" s="2" t="s">
        <v>4119</v>
      </c>
    </row>
    <row r="5434">
      <c r="A5434" s="2" t="s">
        <v>4961</v>
      </c>
      <c r="B5434" s="2" t="s">
        <v>5025</v>
      </c>
      <c r="C5434" s="2" t="s">
        <v>5026</v>
      </c>
      <c r="D5434" s="3" t="str">
        <f t="shared" ref="D5434:D5437" si="917">HYPERLINK("https://12go.asia/en/travel/Hua-Hin-Hotel-Transfer/Ranong-Hotel-Transfer", "12Go Link")</f>
        <v>12Go Link</v>
      </c>
      <c r="E5434" s="2" t="s">
        <v>4968</v>
      </c>
    </row>
    <row r="5435">
      <c r="A5435" s="2" t="s">
        <v>4961</v>
      </c>
      <c r="B5435" s="2" t="s">
        <v>5025</v>
      </c>
      <c r="C5435" s="2" t="s">
        <v>5026</v>
      </c>
      <c r="D5435" s="3" t="str">
        <f t="shared" si="917"/>
        <v>12Go Link</v>
      </c>
      <c r="E5435" s="2" t="s">
        <v>5011</v>
      </c>
    </row>
    <row r="5436">
      <c r="A5436" s="2" t="s">
        <v>4961</v>
      </c>
      <c r="B5436" s="2" t="s">
        <v>5025</v>
      </c>
      <c r="C5436" s="2" t="s">
        <v>5026</v>
      </c>
      <c r="D5436" s="3" t="str">
        <f t="shared" si="917"/>
        <v>12Go Link</v>
      </c>
      <c r="E5436" s="2" t="s">
        <v>215</v>
      </c>
    </row>
    <row r="5437">
      <c r="A5437" s="2" t="s">
        <v>4961</v>
      </c>
      <c r="B5437" s="2" t="s">
        <v>5025</v>
      </c>
      <c r="C5437" s="2" t="s">
        <v>5026</v>
      </c>
      <c r="D5437" s="3" t="str">
        <f t="shared" si="917"/>
        <v>12Go Link</v>
      </c>
      <c r="E5437" s="2" t="s">
        <v>4119</v>
      </c>
    </row>
    <row r="5438">
      <c r="A5438" s="2" t="s">
        <v>4961</v>
      </c>
      <c r="B5438" s="2" t="s">
        <v>5027</v>
      </c>
      <c r="C5438" s="2" t="s">
        <v>5028</v>
      </c>
      <c r="D5438" s="3" t="str">
        <f t="shared" ref="D5438:D5441" si="918">HYPERLINK("https://12go.asia/en/travel/Hua-Hin-Hotel-Transfer/Ratchaprapha-Dam-Hotel-Transfer", "12Go Link")</f>
        <v>12Go Link</v>
      </c>
      <c r="E5438" s="2" t="s">
        <v>4968</v>
      </c>
    </row>
    <row r="5439">
      <c r="A5439" s="2" t="s">
        <v>4961</v>
      </c>
      <c r="B5439" s="2" t="s">
        <v>5027</v>
      </c>
      <c r="C5439" s="2" t="s">
        <v>5028</v>
      </c>
      <c r="D5439" s="3" t="str">
        <f t="shared" si="918"/>
        <v>12Go Link</v>
      </c>
      <c r="E5439" s="2" t="s">
        <v>5011</v>
      </c>
    </row>
    <row r="5440">
      <c r="A5440" s="2" t="s">
        <v>4961</v>
      </c>
      <c r="B5440" s="2" t="s">
        <v>5027</v>
      </c>
      <c r="C5440" s="2" t="s">
        <v>5028</v>
      </c>
      <c r="D5440" s="3" t="str">
        <f t="shared" si="918"/>
        <v>12Go Link</v>
      </c>
      <c r="E5440" s="2" t="s">
        <v>215</v>
      </c>
    </row>
    <row r="5441">
      <c r="A5441" s="2" t="s">
        <v>4961</v>
      </c>
      <c r="B5441" s="2" t="s">
        <v>5027</v>
      </c>
      <c r="C5441" s="2" t="s">
        <v>5028</v>
      </c>
      <c r="D5441" s="3" t="str">
        <f t="shared" si="918"/>
        <v>12Go Link</v>
      </c>
      <c r="E5441" s="2" t="s">
        <v>4119</v>
      </c>
    </row>
    <row r="5442">
      <c r="A5442" s="2" t="s">
        <v>4961</v>
      </c>
      <c r="B5442" s="2" t="s">
        <v>5027</v>
      </c>
      <c r="C5442" s="2" t="s">
        <v>5029</v>
      </c>
      <c r="D5442" s="3" t="str">
        <f t="shared" ref="D5442:D5445" si="919">HYPERLINK("https://12go.asia/en/travel/Hua-Hin-Hotel-Transfer/Surat-Thani-Airport", "12Go Link")</f>
        <v>12Go Link</v>
      </c>
      <c r="E5442" s="2" t="s">
        <v>4968</v>
      </c>
    </row>
    <row r="5443">
      <c r="A5443" s="2" t="s">
        <v>4961</v>
      </c>
      <c r="B5443" s="2" t="s">
        <v>5027</v>
      </c>
      <c r="C5443" s="2" t="s">
        <v>5029</v>
      </c>
      <c r="D5443" s="3" t="str">
        <f t="shared" si="919"/>
        <v>12Go Link</v>
      </c>
      <c r="E5443" s="2" t="s">
        <v>5011</v>
      </c>
    </row>
    <row r="5444">
      <c r="A5444" s="2" t="s">
        <v>4961</v>
      </c>
      <c r="B5444" s="2" t="s">
        <v>5027</v>
      </c>
      <c r="C5444" s="2" t="s">
        <v>5029</v>
      </c>
      <c r="D5444" s="3" t="str">
        <f t="shared" si="919"/>
        <v>12Go Link</v>
      </c>
      <c r="E5444" s="2" t="s">
        <v>215</v>
      </c>
    </row>
    <row r="5445">
      <c r="A5445" s="2" t="s">
        <v>4961</v>
      </c>
      <c r="B5445" s="2" t="s">
        <v>5027</v>
      </c>
      <c r="C5445" s="2" t="s">
        <v>5029</v>
      </c>
      <c r="D5445" s="3" t="str">
        <f t="shared" si="919"/>
        <v>12Go Link</v>
      </c>
      <c r="E5445" s="2" t="s">
        <v>4119</v>
      </c>
    </row>
    <row r="5446">
      <c r="A5446" s="2" t="s">
        <v>4961</v>
      </c>
      <c r="B5446" s="2" t="s">
        <v>5027</v>
      </c>
      <c r="C5446" s="2" t="s">
        <v>5030</v>
      </c>
      <c r="D5446" s="3" t="str">
        <f t="shared" ref="D5446:D5449" si="920">HYPERLINK("https://12go.asia/en/travel/Hua-Hin-Hotel-Transfer/Surat-Thani-Town-Transfer", "12Go Link")</f>
        <v>12Go Link</v>
      </c>
      <c r="E5446" s="2" t="s">
        <v>4968</v>
      </c>
    </row>
    <row r="5447">
      <c r="A5447" s="2" t="s">
        <v>4961</v>
      </c>
      <c r="B5447" s="2" t="s">
        <v>5027</v>
      </c>
      <c r="C5447" s="2" t="s">
        <v>5030</v>
      </c>
      <c r="D5447" s="3" t="str">
        <f t="shared" si="920"/>
        <v>12Go Link</v>
      </c>
      <c r="E5447" s="2" t="s">
        <v>5011</v>
      </c>
    </row>
    <row r="5448">
      <c r="A5448" s="2" t="s">
        <v>4961</v>
      </c>
      <c r="B5448" s="2" t="s">
        <v>5027</v>
      </c>
      <c r="C5448" s="2" t="s">
        <v>5030</v>
      </c>
      <c r="D5448" s="3" t="str">
        <f t="shared" si="920"/>
        <v>12Go Link</v>
      </c>
      <c r="E5448" s="2" t="s">
        <v>215</v>
      </c>
    </row>
    <row r="5449">
      <c r="A5449" s="2" t="s">
        <v>4961</v>
      </c>
      <c r="B5449" s="2" t="s">
        <v>5027</v>
      </c>
      <c r="C5449" s="2" t="s">
        <v>5030</v>
      </c>
      <c r="D5449" s="3" t="str">
        <f t="shared" si="920"/>
        <v>12Go Link</v>
      </c>
      <c r="E5449" s="2" t="s">
        <v>4119</v>
      </c>
    </row>
    <row r="5450">
      <c r="A5450" s="2" t="s">
        <v>5031</v>
      </c>
      <c r="B5450" s="2" t="s">
        <v>5032</v>
      </c>
      <c r="C5450" s="2" t="s">
        <v>5033</v>
      </c>
      <c r="D5450" s="3" t="str">
        <f t="shared" ref="D5450:D5452" si="921">HYPERLINK("https://12go.asia/en/travel/Kanchanaburi-Hotel-Transfer/Sam-Roi-Yot", "12Go Link")</f>
        <v>12Go Link</v>
      </c>
      <c r="E5450" s="2" t="s">
        <v>4968</v>
      </c>
    </row>
    <row r="5451">
      <c r="A5451" s="2" t="s">
        <v>5031</v>
      </c>
      <c r="B5451" s="2" t="s">
        <v>5032</v>
      </c>
      <c r="C5451" s="2" t="s">
        <v>5033</v>
      </c>
      <c r="D5451" s="3" t="str">
        <f t="shared" si="921"/>
        <v>12Go Link</v>
      </c>
      <c r="E5451" s="2" t="s">
        <v>4985</v>
      </c>
    </row>
    <row r="5452">
      <c r="A5452" s="2" t="s">
        <v>5031</v>
      </c>
      <c r="B5452" s="2" t="s">
        <v>5032</v>
      </c>
      <c r="C5452" s="2" t="s">
        <v>5033</v>
      </c>
      <c r="D5452" s="3" t="str">
        <f t="shared" si="921"/>
        <v>12Go Link</v>
      </c>
      <c r="E5452" s="2" t="s">
        <v>4986</v>
      </c>
    </row>
    <row r="5453">
      <c r="A5453" s="2" t="s">
        <v>4963</v>
      </c>
      <c r="B5453" s="2" t="s">
        <v>5034</v>
      </c>
      <c r="C5453" s="2" t="s">
        <v>5035</v>
      </c>
      <c r="D5453" s="3" t="str">
        <f>HYPERLINK("https://12go.asia/en/travel/Khao-Lak-Transfer/Chumphon-Hotel-Transfer", "12Go Link")</f>
        <v>12Go Link</v>
      </c>
      <c r="E5453" s="2" t="s">
        <v>5036</v>
      </c>
    </row>
    <row r="5454">
      <c r="A5454" s="2" t="s">
        <v>4963</v>
      </c>
      <c r="B5454" s="2" t="s">
        <v>5009</v>
      </c>
      <c r="C5454" s="2" t="s">
        <v>5037</v>
      </c>
      <c r="D5454" s="3" t="str">
        <f>HYPERLINK("https://12go.asia/en/travel/Khao-Lak-Transfer/Donsak-Hotel-Transfer", "12Go Link")</f>
        <v>12Go Link</v>
      </c>
      <c r="E5454" s="2" t="s">
        <v>5036</v>
      </c>
    </row>
    <row r="5455">
      <c r="A5455" s="2" t="s">
        <v>4963</v>
      </c>
      <c r="B5455" s="2" t="s">
        <v>4928</v>
      </c>
      <c r="C5455" s="2" t="s">
        <v>5038</v>
      </c>
      <c r="D5455" s="3" t="str">
        <f>HYPERLINK("https://12go.asia/en/travel/Khao-Lak-Transfer/Khao-Sok-Hotel-Transfer", "12Go Link")</f>
        <v>12Go Link</v>
      </c>
      <c r="E5455" s="2" t="s">
        <v>5036</v>
      </c>
    </row>
    <row r="5456">
      <c r="A5456" s="2" t="s">
        <v>4963</v>
      </c>
      <c r="B5456" s="2" t="s">
        <v>4931</v>
      </c>
      <c r="C5456" s="2" t="s">
        <v>5039</v>
      </c>
      <c r="D5456" s="3" t="str">
        <f>HYPERLINK("https://12go.asia/en/travel/Khao-Lak-Transfer/Koh-Lanta-Transfer", "12Go Link")</f>
        <v>12Go Link</v>
      </c>
      <c r="E5456" s="2" t="s">
        <v>5036</v>
      </c>
    </row>
    <row r="5457">
      <c r="A5457" s="2" t="s">
        <v>4963</v>
      </c>
      <c r="B5457" s="2" t="s">
        <v>4224</v>
      </c>
      <c r="C5457" s="2" t="s">
        <v>5040</v>
      </c>
      <c r="D5457" s="3" t="str">
        <f>HYPERLINK("https://12go.asia/en/travel/Khao-Lak-Transfer/Krabi-with-Klong-Muang-Ao-Nang-Airport-and-Town", "12Go Link")</f>
        <v>12Go Link</v>
      </c>
      <c r="E5457" s="2" t="s">
        <v>5036</v>
      </c>
    </row>
    <row r="5458">
      <c r="A5458" s="2" t="s">
        <v>4963</v>
      </c>
      <c r="B5458" s="2" t="s">
        <v>5041</v>
      </c>
      <c r="C5458" s="2" t="s">
        <v>5042</v>
      </c>
      <c r="D5458" s="3" t="str">
        <f>HYPERLINK("https://12go.asia/en/travel/Khao-Lak-Center/Takua-Pa-Bus-Terminal", "12Go Link")</f>
        <v>12Go Link</v>
      </c>
      <c r="E5458" s="2" t="s">
        <v>4956</v>
      </c>
    </row>
    <row r="5459">
      <c r="A5459" s="2" t="s">
        <v>4963</v>
      </c>
      <c r="B5459" s="2" t="s">
        <v>5041</v>
      </c>
      <c r="C5459" s="2" t="s">
        <v>5043</v>
      </c>
      <c r="D5459" s="3" t="str">
        <f>HYPERLINK("https://12go.asia/en/travel/Khao-Lak-Transfer/Phang-Nga-Hotel-Transfer", "12Go Link")</f>
        <v>12Go Link</v>
      </c>
      <c r="E5459" s="2" t="s">
        <v>5036</v>
      </c>
    </row>
    <row r="5460">
      <c r="A5460" s="2" t="s">
        <v>4963</v>
      </c>
      <c r="B5460" s="2" t="s">
        <v>5041</v>
      </c>
      <c r="C5460" s="2" t="s">
        <v>5044</v>
      </c>
      <c r="D5460" s="3" t="str">
        <f>HYPERLINK("https://12go.asia/en/travel/Opposite-Khao-Lak-Center/Khokkloy", "12Go Link")</f>
        <v>12Go Link</v>
      </c>
      <c r="E5460" s="2" t="s">
        <v>4956</v>
      </c>
    </row>
    <row r="5461">
      <c r="A5461" s="2" t="s">
        <v>4963</v>
      </c>
      <c r="B5461" s="2" t="s">
        <v>4228</v>
      </c>
      <c r="C5461" s="2" t="s">
        <v>5045</v>
      </c>
      <c r="D5461" s="3" t="str">
        <f>HYPERLINK("https://12go.asia/en/travel/Opposite-Khao-Lak-Center/Phuket-Bus-Terminal-1", "12Go Link")</f>
        <v>12Go Link</v>
      </c>
      <c r="E5461" s="2" t="s">
        <v>4956</v>
      </c>
    </row>
    <row r="5462">
      <c r="A5462" s="2" t="s">
        <v>4963</v>
      </c>
      <c r="B5462" s="2" t="s">
        <v>4232</v>
      </c>
      <c r="C5462" s="2" t="s">
        <v>5046</v>
      </c>
      <c r="D5462" s="3" t="str">
        <f>HYPERLINK("https://12go.asia/en/travel/Khao-Lak-Transfer/Trang-with-Pakmeng-and-Sikhao", "12Go Link")</f>
        <v>12Go Link</v>
      </c>
      <c r="E5462" s="2" t="s">
        <v>5036</v>
      </c>
    </row>
    <row r="5463">
      <c r="A5463" s="2" t="s">
        <v>4928</v>
      </c>
      <c r="B5463" s="2" t="s">
        <v>4927</v>
      </c>
      <c r="C5463" s="2" t="s">
        <v>5047</v>
      </c>
      <c r="D5463" s="3" t="str">
        <f>HYPERLINK("https://12go.asia/en/travel/Khao-Sok-Hotel-Transfer/Ao-Nang-Hotel-Transfer", "12Go Link")</f>
        <v>12Go Link</v>
      </c>
      <c r="E5463" s="2" t="s">
        <v>4930</v>
      </c>
    </row>
    <row r="5464">
      <c r="A5464" s="2" t="s">
        <v>4928</v>
      </c>
      <c r="B5464" s="2" t="s">
        <v>4963</v>
      </c>
      <c r="C5464" s="2" t="s">
        <v>5048</v>
      </c>
      <c r="D5464" s="3" t="str">
        <f>HYPERLINK("https://12go.asia/en/travel/SP-Feel-Good-Offce/Khao-Lak-Nang-Thong-Center", "12Go Link")</f>
        <v>12Go Link</v>
      </c>
      <c r="E5464" s="2" t="s">
        <v>4930</v>
      </c>
    </row>
    <row r="5465">
      <c r="A5465" s="2" t="s">
        <v>4928</v>
      </c>
      <c r="B5465" s="2" t="s">
        <v>4937</v>
      </c>
      <c r="C5465" s="2" t="s">
        <v>5049</v>
      </c>
      <c r="D5465" s="3" t="str">
        <f>HYPERLINK("https://12go.asia/en/travel/Khao-Sok-Van-Station/Thong-Sala", "12Go Link")</f>
        <v>12Go Link</v>
      </c>
      <c r="E5465" s="2" t="s">
        <v>5050</v>
      </c>
    </row>
    <row r="5466">
      <c r="A5466" s="2" t="s">
        <v>4928</v>
      </c>
      <c r="B5466" s="2" t="s">
        <v>4945</v>
      </c>
      <c r="C5466" s="2" t="s">
        <v>5051</v>
      </c>
      <c r="D5466" s="3" t="str">
        <f>HYPERLINK("https://12go.asia/en/travel/Khao-Sok-Van-Station/Lipa-Noi-Koh-Samui", "12Go Link")</f>
        <v>12Go Link</v>
      </c>
      <c r="E5466" s="2" t="s">
        <v>5050</v>
      </c>
    </row>
    <row r="5467">
      <c r="A5467" s="2" t="s">
        <v>4928</v>
      </c>
      <c r="B5467" s="2" t="s">
        <v>4224</v>
      </c>
      <c r="C5467" s="2" t="s">
        <v>5052</v>
      </c>
      <c r="D5467" s="3" t="str">
        <f>HYPERLINK("https://12go.asia/en/travel/Khao-Sok-Hotel-Transfer/Krabi-Transport", "12Go Link")</f>
        <v>12Go Link</v>
      </c>
      <c r="E5467" s="2" t="s">
        <v>4930</v>
      </c>
    </row>
    <row r="5468">
      <c r="A5468" s="2" t="s">
        <v>4928</v>
      </c>
      <c r="B5468" s="2" t="s">
        <v>4228</v>
      </c>
      <c r="C5468" s="2" t="s">
        <v>5053</v>
      </c>
      <c r="D5468" s="3" t="str">
        <f>HYPERLINK("https://12go.asia/en/travel/SP-Feel-Good-Offce/Kamala-Beach-Transfer", "12Go Link")</f>
        <v>12Go Link</v>
      </c>
      <c r="E5468" s="2" t="s">
        <v>4930</v>
      </c>
    </row>
    <row r="5469">
      <c r="A5469" s="2" t="s">
        <v>4928</v>
      </c>
      <c r="B5469" s="2" t="s">
        <v>4228</v>
      </c>
      <c r="C5469" s="2" t="s">
        <v>5054</v>
      </c>
      <c r="D5469" s="3" t="str">
        <f>HYPERLINK("https://12go.asia/en/travel/SP-Feel-Good-Offce/Kata-Karon-Transfer", "12Go Link")</f>
        <v>12Go Link</v>
      </c>
      <c r="E5469" s="2" t="s">
        <v>4930</v>
      </c>
    </row>
    <row r="5470">
      <c r="A5470" s="2" t="s">
        <v>4928</v>
      </c>
      <c r="B5470" s="2" t="s">
        <v>4228</v>
      </c>
      <c r="C5470" s="2" t="s">
        <v>5055</v>
      </c>
      <c r="D5470" s="3" t="str">
        <f>HYPERLINK("https://12go.asia/en/travel/SP-Feel-Good-Offce/Nai-Yang-beach", "12Go Link")</f>
        <v>12Go Link</v>
      </c>
      <c r="E5470" s="2" t="s">
        <v>4930</v>
      </c>
    </row>
    <row r="5471">
      <c r="A5471" s="2" t="s">
        <v>4928</v>
      </c>
      <c r="B5471" s="2" t="s">
        <v>4228</v>
      </c>
      <c r="C5471" s="2" t="s">
        <v>5056</v>
      </c>
      <c r="D5471" s="3" t="str">
        <f>HYPERLINK("https://12go.asia/en/travel/SP-Feel-Good-Offce/Patong-Hotel-Transfer", "12Go Link")</f>
        <v>12Go Link</v>
      </c>
      <c r="E5471" s="2" t="s">
        <v>4930</v>
      </c>
    </row>
    <row r="5472">
      <c r="A5472" s="2" t="s">
        <v>4928</v>
      </c>
      <c r="B5472" s="2" t="s">
        <v>4228</v>
      </c>
      <c r="C5472" s="2" t="s">
        <v>5057</v>
      </c>
      <c r="D5472" s="3" t="str">
        <f>HYPERLINK("https://12go.asia/en/travel/SP-Feel-Good-Offce/Phuket-Airport", "12Go Link")</f>
        <v>12Go Link</v>
      </c>
      <c r="E5472" s="2" t="s">
        <v>4930</v>
      </c>
    </row>
    <row r="5473">
      <c r="A5473" s="2" t="s">
        <v>4928</v>
      </c>
      <c r="B5473" s="2" t="s">
        <v>4228</v>
      </c>
      <c r="C5473" s="2" t="s">
        <v>5058</v>
      </c>
      <c r="D5473" s="3" t="str">
        <f>HYPERLINK("https://12go.asia/en/travel/SP-Feel-Good-Offce/Phuket-Bus-Terminal-1", "12Go Link")</f>
        <v>12Go Link</v>
      </c>
      <c r="E5473" s="2" t="s">
        <v>4930</v>
      </c>
    </row>
    <row r="5474">
      <c r="A5474" s="2" t="s">
        <v>4928</v>
      </c>
      <c r="B5474" s="2" t="s">
        <v>4228</v>
      </c>
      <c r="C5474" s="2" t="s">
        <v>5059</v>
      </c>
      <c r="D5474" s="3" t="str">
        <f>HYPERLINK("https://12go.asia/en/travel/SP-Feel-Good-Offce/Phuket-Bus-Terminal-2", "12Go Link")</f>
        <v>12Go Link</v>
      </c>
      <c r="E5474" s="2" t="s">
        <v>4930</v>
      </c>
    </row>
    <row r="5475">
      <c r="A5475" s="2" t="s">
        <v>4928</v>
      </c>
      <c r="B5475" s="2" t="s">
        <v>4228</v>
      </c>
      <c r="C5475" s="2" t="s">
        <v>5060</v>
      </c>
      <c r="D5475" s="3" t="str">
        <f>HYPERLINK("https://12go.asia/en/travel/SP-Feel-Good-Offce/Phuket-Town-Transfer", "12Go Link")</f>
        <v>12Go Link</v>
      </c>
      <c r="E5475" s="2" t="s">
        <v>4930</v>
      </c>
    </row>
    <row r="5476">
      <c r="A5476" s="2" t="s">
        <v>4928</v>
      </c>
      <c r="B5476" s="2" t="s">
        <v>4228</v>
      </c>
      <c r="C5476" s="2" t="s">
        <v>5061</v>
      </c>
      <c r="D5476" s="3" t="str">
        <f>HYPERLINK("https://12go.asia/en/travel/SP-Feel-Good-Offce/Surin-Beach", "12Go Link")</f>
        <v>12Go Link</v>
      </c>
      <c r="E5476" s="2" t="s">
        <v>4930</v>
      </c>
    </row>
    <row r="5477">
      <c r="A5477" s="2" t="s">
        <v>4928</v>
      </c>
      <c r="B5477" s="2" t="s">
        <v>5062</v>
      </c>
      <c r="C5477" s="2" t="s">
        <v>5063</v>
      </c>
      <c r="D5477" s="3" t="str">
        <f>HYPERLINK("https://12go.asia/en/travel/Khao-Sok-Hotel-Transfer/Floating-Pier-East-Railay", "12Go Link")</f>
        <v>12Go Link</v>
      </c>
      <c r="E5477" s="2" t="s">
        <v>5064</v>
      </c>
    </row>
    <row r="5478">
      <c r="A5478" s="2" t="s">
        <v>4928</v>
      </c>
      <c r="B5478" s="2" t="s">
        <v>5027</v>
      </c>
      <c r="C5478" s="2" t="s">
        <v>5065</v>
      </c>
      <c r="D5478" s="3" t="str">
        <f t="shared" ref="D5478:D5479" si="922">HYPERLINK("https://12go.asia/en/travel/Khao-Sok-Van-Station/Nara-Travel-Office", "12Go Link")</f>
        <v>12Go Link</v>
      </c>
      <c r="E5478" s="2" t="s">
        <v>4930</v>
      </c>
    </row>
    <row r="5479">
      <c r="A5479" s="2" t="s">
        <v>4928</v>
      </c>
      <c r="B5479" s="2" t="s">
        <v>5027</v>
      </c>
      <c r="C5479" s="2" t="s">
        <v>5065</v>
      </c>
      <c r="D5479" s="3" t="str">
        <f t="shared" si="922"/>
        <v>12Go Link</v>
      </c>
      <c r="E5479" s="2" t="s">
        <v>5050</v>
      </c>
    </row>
    <row r="5480">
      <c r="A5480" s="2" t="s">
        <v>5066</v>
      </c>
      <c r="B5480" s="2" t="s">
        <v>5027</v>
      </c>
      <c r="C5480" s="2" t="s">
        <v>5067</v>
      </c>
      <c r="D5480" s="3" t="str">
        <f t="shared" ref="D5480:D5483" si="923">HYPERLINK("https://12go.asia/en/travel/Wang-Prachan-Customs-House/Surat-Thani-Airport", "12Go Link")</f>
        <v>12Go Link</v>
      </c>
      <c r="E5480" s="2" t="s">
        <v>4968</v>
      </c>
    </row>
    <row r="5481">
      <c r="A5481" s="2" t="s">
        <v>5066</v>
      </c>
      <c r="B5481" s="2" t="s">
        <v>5027</v>
      </c>
      <c r="C5481" s="2" t="s">
        <v>5067</v>
      </c>
      <c r="D5481" s="3" t="str">
        <f t="shared" si="923"/>
        <v>12Go Link</v>
      </c>
      <c r="E5481" s="2" t="s">
        <v>5011</v>
      </c>
    </row>
    <row r="5482">
      <c r="A5482" s="2" t="s">
        <v>5066</v>
      </c>
      <c r="B5482" s="2" t="s">
        <v>5027</v>
      </c>
      <c r="C5482" s="2" t="s">
        <v>5067</v>
      </c>
      <c r="D5482" s="3" t="str">
        <f t="shared" si="923"/>
        <v>12Go Link</v>
      </c>
      <c r="E5482" s="2" t="s">
        <v>215</v>
      </c>
    </row>
    <row r="5483">
      <c r="A5483" s="2" t="s">
        <v>5066</v>
      </c>
      <c r="B5483" s="2" t="s">
        <v>5027</v>
      </c>
      <c r="C5483" s="2" t="s">
        <v>5067</v>
      </c>
      <c r="D5483" s="3" t="str">
        <f t="shared" si="923"/>
        <v>12Go Link</v>
      </c>
      <c r="E5483" s="2" t="s">
        <v>4119</v>
      </c>
    </row>
    <row r="5484">
      <c r="A5484" s="2" t="s">
        <v>5066</v>
      </c>
      <c r="B5484" s="2" t="s">
        <v>5027</v>
      </c>
      <c r="C5484" s="2" t="s">
        <v>5068</v>
      </c>
      <c r="D5484" s="3" t="str">
        <f t="shared" ref="D5484:D5487" si="924">HYPERLINK("https://12go.asia/en/travel/Wang-Prachan-Customs-House/Surat-Thani-Town-Transfer", "12Go Link")</f>
        <v>12Go Link</v>
      </c>
      <c r="E5484" s="2" t="s">
        <v>4968</v>
      </c>
    </row>
    <row r="5485">
      <c r="A5485" s="2" t="s">
        <v>5066</v>
      </c>
      <c r="B5485" s="2" t="s">
        <v>5027</v>
      </c>
      <c r="C5485" s="2" t="s">
        <v>5068</v>
      </c>
      <c r="D5485" s="3" t="str">
        <f t="shared" si="924"/>
        <v>12Go Link</v>
      </c>
      <c r="E5485" s="2" t="s">
        <v>5011</v>
      </c>
    </row>
    <row r="5486">
      <c r="A5486" s="2" t="s">
        <v>5066</v>
      </c>
      <c r="B5486" s="2" t="s">
        <v>5027</v>
      </c>
      <c r="C5486" s="2" t="s">
        <v>5068</v>
      </c>
      <c r="D5486" s="3" t="str">
        <f t="shared" si="924"/>
        <v>12Go Link</v>
      </c>
      <c r="E5486" s="2" t="s">
        <v>215</v>
      </c>
    </row>
    <row r="5487">
      <c r="A5487" s="2" t="s">
        <v>5066</v>
      </c>
      <c r="B5487" s="2" t="s">
        <v>5027</v>
      </c>
      <c r="C5487" s="2" t="s">
        <v>5068</v>
      </c>
      <c r="D5487" s="3" t="str">
        <f t="shared" si="924"/>
        <v>12Go Link</v>
      </c>
      <c r="E5487" s="2" t="s">
        <v>4119</v>
      </c>
    </row>
    <row r="5488">
      <c r="A5488" s="2" t="s">
        <v>4966</v>
      </c>
      <c r="B5488" s="2" t="s">
        <v>213</v>
      </c>
      <c r="C5488" s="2" t="s">
        <v>5069</v>
      </c>
      <c r="D5488" s="3" t="str">
        <f>HYPERLINK("https://12go.asia/en/travel/Koh-Chang-Ao-Sapparot/Siem-Reap", "12Go Link")</f>
        <v>12Go Link</v>
      </c>
      <c r="E5488" s="2" t="s">
        <v>215</v>
      </c>
    </row>
    <row r="5489">
      <c r="A5489" s="2" t="s">
        <v>4966</v>
      </c>
      <c r="B5489" s="2" t="s">
        <v>213</v>
      </c>
      <c r="C5489" s="2" t="s">
        <v>5070</v>
      </c>
      <c r="D5489" s="3" t="str">
        <f>HYPERLINK("https://12go.asia/en/travel/Koh-Chang-Transfer/Siem-Reap", "12Go Link")</f>
        <v>12Go Link</v>
      </c>
      <c r="E5489" s="2" t="s">
        <v>13</v>
      </c>
    </row>
    <row r="5490">
      <c r="A5490" s="2" t="s">
        <v>4966</v>
      </c>
      <c r="B5490" s="2" t="s">
        <v>5015</v>
      </c>
      <c r="C5490" s="2" t="s">
        <v>5071</v>
      </c>
      <c r="D5490" s="3" t="str">
        <f t="shared" ref="D5490:D5492" si="925">HYPERLINK("https://12go.asia/en/travel/Koh-Chang-Hotel-Transfer/Suvarnabhumi-Airport", "12Go Link")</f>
        <v>12Go Link</v>
      </c>
      <c r="E5490" s="2" t="s">
        <v>4968</v>
      </c>
    </row>
    <row r="5491">
      <c r="A5491" s="2" t="s">
        <v>4966</v>
      </c>
      <c r="B5491" s="2" t="s">
        <v>5015</v>
      </c>
      <c r="C5491" s="2" t="s">
        <v>5071</v>
      </c>
      <c r="D5491" s="3" t="str">
        <f t="shared" si="925"/>
        <v>12Go Link</v>
      </c>
      <c r="E5491" s="2" t="s">
        <v>215</v>
      </c>
    </row>
    <row r="5492">
      <c r="A5492" s="2" t="s">
        <v>4966</v>
      </c>
      <c r="B5492" s="2" t="s">
        <v>5015</v>
      </c>
      <c r="C5492" s="2" t="s">
        <v>5071</v>
      </c>
      <c r="D5492" s="3" t="str">
        <f t="shared" si="925"/>
        <v>12Go Link</v>
      </c>
      <c r="E5492" s="2" t="s">
        <v>4119</v>
      </c>
    </row>
    <row r="5493">
      <c r="A5493" s="2" t="s">
        <v>4969</v>
      </c>
      <c r="B5493" s="2" t="s">
        <v>3850</v>
      </c>
      <c r="C5493" s="2" t="s">
        <v>5072</v>
      </c>
      <c r="D5493" s="3" t="str">
        <f>HYPERLINK("https://12go.asia/en/travel/Koh-Kood-Airfield/Don-Mueang-International-Airport", "12Go Link")</f>
        <v>12Go Link</v>
      </c>
      <c r="E5493" s="2" t="s">
        <v>4958</v>
      </c>
    </row>
    <row r="5494">
      <c r="A5494" s="2" t="s">
        <v>4969</v>
      </c>
      <c r="B5494" s="2" t="s">
        <v>3850</v>
      </c>
      <c r="C5494" s="2" t="s">
        <v>5073</v>
      </c>
      <c r="D5494" s="3" t="str">
        <f>HYPERLINK("https://12go.asia/en/travel/Koh-Kood-Transfer/Khao-San-Seudamgo", "12Go Link")</f>
        <v>12Go Link</v>
      </c>
      <c r="E5494" s="2" t="s">
        <v>5074</v>
      </c>
    </row>
    <row r="5495">
      <c r="A5495" s="2" t="s">
        <v>4969</v>
      </c>
      <c r="B5495" s="2" t="s">
        <v>3850</v>
      </c>
      <c r="C5495" s="2" t="s">
        <v>5075</v>
      </c>
      <c r="D5495" s="3" t="str">
        <f>HYPERLINK("https://12go.asia/en/travel/Koh-Kood-Transfer/Suvarnabhumi-Airport-Bangkok", "12Go Link")</f>
        <v>12Go Link</v>
      </c>
      <c r="E5495" s="2" t="s">
        <v>5074</v>
      </c>
    </row>
    <row r="5496">
      <c r="A5496" s="2" t="s">
        <v>4969</v>
      </c>
      <c r="B5496" s="2" t="s">
        <v>3850</v>
      </c>
      <c r="C5496" s="2" t="s">
        <v>5076</v>
      </c>
      <c r="D5496" s="3" t="str">
        <f>HYPERLINK("https://12go.asia/en/travel/Koh-Kood-Transfer/The-Nine-Center-Rama-9-Hua-Mak", "12Go Link")</f>
        <v>12Go Link</v>
      </c>
      <c r="E5496" s="2" t="s">
        <v>5074</v>
      </c>
    </row>
    <row r="5497">
      <c r="A5497" s="2" t="s">
        <v>4931</v>
      </c>
      <c r="B5497" s="2" t="s">
        <v>4927</v>
      </c>
      <c r="C5497" s="2" t="s">
        <v>5077</v>
      </c>
      <c r="D5497" s="3" t="str">
        <f>HYPERLINK("https://12go.asia/en/travel/Koh-Lanta-Hotel-Transfer/Ao-Nang-Hotel-Transfer", "12Go Link")</f>
        <v>12Go Link</v>
      </c>
      <c r="E5497" s="2" t="s">
        <v>4935</v>
      </c>
    </row>
    <row r="5498">
      <c r="A5498" s="2" t="s">
        <v>4931</v>
      </c>
      <c r="B5498" s="2" t="s">
        <v>4928</v>
      </c>
      <c r="C5498" s="2" t="s">
        <v>5078</v>
      </c>
      <c r="D5498" s="3" t="str">
        <f>HYPERLINK("https://12go.asia/en/travel/Koh-Lanta-Hotel-Transfer/Khao-Sok-Bus-Stop", "12Go Link")</f>
        <v>12Go Link</v>
      </c>
      <c r="E5498" s="2" t="s">
        <v>4935</v>
      </c>
    </row>
    <row r="5499">
      <c r="A5499" s="2" t="s">
        <v>4931</v>
      </c>
      <c r="B5499" s="2" t="s">
        <v>4937</v>
      </c>
      <c r="C5499" s="2" t="s">
        <v>5079</v>
      </c>
      <c r="D5499" s="3" t="str">
        <f>HYPERLINK("https://12go.asia/en/travel/Koh-Lanta-Hotel-Transfer/Thong-Sala", "12Go Link")</f>
        <v>12Go Link</v>
      </c>
      <c r="E5499" s="2" t="s">
        <v>4935</v>
      </c>
    </row>
    <row r="5500">
      <c r="A5500" s="2" t="s">
        <v>4931</v>
      </c>
      <c r="B5500" s="2" t="s">
        <v>4937</v>
      </c>
      <c r="C5500" s="2" t="s">
        <v>5080</v>
      </c>
      <c r="D5500" s="3" t="str">
        <f t="shared" ref="D5500:D5501" si="926">HYPERLINK("https://12go.asia/en/travel/Koh-Lanta-Transfer/Thong-Sala-Koh-Phangan", "12Go Link")</f>
        <v>12Go Link</v>
      </c>
      <c r="E5500" s="2" t="s">
        <v>5081</v>
      </c>
    </row>
    <row r="5501">
      <c r="A5501" s="2" t="s">
        <v>4931</v>
      </c>
      <c r="B5501" s="2" t="s">
        <v>4937</v>
      </c>
      <c r="C5501" s="2" t="s">
        <v>5080</v>
      </c>
      <c r="D5501" s="3" t="str">
        <f t="shared" si="926"/>
        <v>12Go Link</v>
      </c>
      <c r="E5501" s="2" t="s">
        <v>5082</v>
      </c>
    </row>
    <row r="5502">
      <c r="A5502" s="2" t="s">
        <v>4931</v>
      </c>
      <c r="B5502" s="2" t="s">
        <v>4945</v>
      </c>
      <c r="C5502" s="2" t="s">
        <v>5083</v>
      </c>
      <c r="D5502" s="3" t="str">
        <f>HYPERLINK("https://12go.asia/en/travel/Koh-Lanta-Hotel-Transfer/Na-Thon-Seatran-Ferry-Pier", "12Go Link")</f>
        <v>12Go Link</v>
      </c>
      <c r="E5502" s="2" t="s">
        <v>4935</v>
      </c>
    </row>
    <row r="5503">
      <c r="A5503" s="2" t="s">
        <v>4931</v>
      </c>
      <c r="B5503" s="2" t="s">
        <v>4945</v>
      </c>
      <c r="C5503" s="2" t="s">
        <v>5084</v>
      </c>
      <c r="D5503" s="3" t="str">
        <f t="shared" ref="D5503:D5504" si="927">HYPERLINK("https://12go.asia/en/travel/Koh-Lanta-Transfer/Na-Thon-Pier", "12Go Link")</f>
        <v>12Go Link</v>
      </c>
      <c r="E5503" s="2" t="s">
        <v>5085</v>
      </c>
    </row>
    <row r="5504">
      <c r="A5504" s="2" t="s">
        <v>4931</v>
      </c>
      <c r="B5504" s="2" t="s">
        <v>4945</v>
      </c>
      <c r="C5504" s="2" t="s">
        <v>5084</v>
      </c>
      <c r="D5504" s="3" t="str">
        <f t="shared" si="927"/>
        <v>12Go Link</v>
      </c>
      <c r="E5504" s="2" t="s">
        <v>5082</v>
      </c>
    </row>
    <row r="5505">
      <c r="A5505" s="2" t="s">
        <v>4931</v>
      </c>
      <c r="B5505" s="2" t="s">
        <v>4978</v>
      </c>
      <c r="C5505" s="2" t="s">
        <v>5086</v>
      </c>
      <c r="D5505" s="3" t="str">
        <f>HYPERLINK("https://12go.asia/en/travel/Koh-Lanta-Transfer/Mae-Haad-Koh-Tao", "12Go Link")</f>
        <v>12Go Link</v>
      </c>
      <c r="E5505" s="2" t="s">
        <v>5085</v>
      </c>
    </row>
    <row r="5506">
      <c r="A5506" s="2" t="s">
        <v>4931</v>
      </c>
      <c r="B5506" s="2" t="s">
        <v>5087</v>
      </c>
      <c r="C5506" s="2" t="s">
        <v>5088</v>
      </c>
      <c r="D5506" s="3" t="str">
        <f>HYPERLINK("https://12go.asia/en/travel/Koh-Lanta-Hotel-Transfer/Manoh-Pier-Koh-Yao-Noi", "12Go Link")</f>
        <v>12Go Link</v>
      </c>
      <c r="E5506" s="2" t="s">
        <v>4935</v>
      </c>
    </row>
    <row r="5507">
      <c r="A5507" s="2" t="s">
        <v>4931</v>
      </c>
      <c r="B5507" s="2" t="s">
        <v>5089</v>
      </c>
      <c r="C5507" s="2" t="s">
        <v>5090</v>
      </c>
      <c r="D5507" s="3" t="str">
        <f>HYPERLINK("https://12go.asia/en/travel/Koh-Lanta-Hotel-Transfer/Chong-Lard-Pier-Koh-Yao-Yai", "12Go Link")</f>
        <v>12Go Link</v>
      </c>
      <c r="E5507" s="2" t="s">
        <v>4935</v>
      </c>
    </row>
    <row r="5508">
      <c r="A5508" s="2" t="s">
        <v>4931</v>
      </c>
      <c r="B5508" s="2" t="s">
        <v>4224</v>
      </c>
      <c r="C5508" s="2" t="s">
        <v>5091</v>
      </c>
      <c r="D5508" s="3" t="str">
        <f>HYPERLINK("https://12go.asia/en/travel/Koh-Lanta-Hotel-Transfer/Klong-Muang-Transfer", "12Go Link")</f>
        <v>12Go Link</v>
      </c>
      <c r="E5508" s="2" t="s">
        <v>4933</v>
      </c>
    </row>
    <row r="5509">
      <c r="A5509" s="2" t="s">
        <v>4931</v>
      </c>
      <c r="B5509" s="2" t="s">
        <v>4224</v>
      </c>
      <c r="C5509" s="2" t="s">
        <v>5092</v>
      </c>
      <c r="D5509" s="3" t="str">
        <f t="shared" ref="D5509:D5512" si="928">HYPERLINK("https://12go.asia/en/travel/Koh-Lanta-Hotel-Transfer/Krabi-Town-Hotel-Transfer", "12Go Link")</f>
        <v>12Go Link</v>
      </c>
      <c r="E5509" s="2" t="s">
        <v>4968</v>
      </c>
    </row>
    <row r="5510">
      <c r="A5510" s="2" t="s">
        <v>4931</v>
      </c>
      <c r="B5510" s="2" t="s">
        <v>4224</v>
      </c>
      <c r="C5510" s="2" t="s">
        <v>5092</v>
      </c>
      <c r="D5510" s="3" t="str">
        <f t="shared" si="928"/>
        <v>12Go Link</v>
      </c>
      <c r="E5510" s="2" t="s">
        <v>5011</v>
      </c>
    </row>
    <row r="5511">
      <c r="A5511" s="2" t="s">
        <v>4931</v>
      </c>
      <c r="B5511" s="2" t="s">
        <v>4224</v>
      </c>
      <c r="C5511" s="2" t="s">
        <v>5092</v>
      </c>
      <c r="D5511" s="3" t="str">
        <f t="shared" si="928"/>
        <v>12Go Link</v>
      </c>
      <c r="E5511" s="2" t="s">
        <v>215</v>
      </c>
    </row>
    <row r="5512">
      <c r="A5512" s="2" t="s">
        <v>4931</v>
      </c>
      <c r="B5512" s="2" t="s">
        <v>4224</v>
      </c>
      <c r="C5512" s="2" t="s">
        <v>5092</v>
      </c>
      <c r="D5512" s="3" t="str">
        <f t="shared" si="928"/>
        <v>12Go Link</v>
      </c>
      <c r="E5512" s="2" t="s">
        <v>4119</v>
      </c>
    </row>
    <row r="5513">
      <c r="A5513" s="2" t="s">
        <v>4931</v>
      </c>
      <c r="B5513" s="2" t="s">
        <v>4224</v>
      </c>
      <c r="C5513" s="2" t="s">
        <v>5093</v>
      </c>
      <c r="D5513" s="3" t="str">
        <f>HYPERLINK("https://12go.asia/en/travel/Koh-Lanta-Transfer/Krabi-Immigration-office", "12Go Link")</f>
        <v>12Go Link</v>
      </c>
      <c r="E5513" s="2" t="s">
        <v>4933</v>
      </c>
    </row>
    <row r="5514">
      <c r="A5514" s="2" t="s">
        <v>4931</v>
      </c>
      <c r="B5514" s="2" t="s">
        <v>5094</v>
      </c>
      <c r="C5514" s="2" t="s">
        <v>5095</v>
      </c>
      <c r="D5514" s="3" t="str">
        <f>HYPERLINK("https://12go.asia/en/travel/Koh-Lanta-Transfer/Surat-Thani-Bus-Terminal", "12Go Link")</f>
        <v>12Go Link</v>
      </c>
      <c r="E5514" s="2" t="s">
        <v>5096</v>
      </c>
    </row>
    <row r="5515">
      <c r="A5515" s="2" t="s">
        <v>5097</v>
      </c>
      <c r="B5515" s="2" t="s">
        <v>5098</v>
      </c>
      <c r="C5515" s="2" t="s">
        <v>5099</v>
      </c>
      <c r="D5515" s="3" t="str">
        <f>HYPERLINK("https://12go.asia/en/travel/Bundhaya-Beach-Koh-Lipe/Kuah-Jetty-Langkawi", "12Go Link")</f>
        <v>12Go Link</v>
      </c>
      <c r="E5515" s="2" t="s">
        <v>240</v>
      </c>
    </row>
    <row r="5516">
      <c r="A5516" s="2" t="s">
        <v>5100</v>
      </c>
      <c r="B5516" s="2" t="s">
        <v>5101</v>
      </c>
      <c r="C5516" s="2" t="s">
        <v>5102</v>
      </c>
      <c r="D5516" s="3" t="str">
        <f>HYPERLINK("https://12go.asia/en/travel/Koh-Muk-Pier/Koh-Ngai-Transfer", "12Go Link")</f>
        <v>12Go Link</v>
      </c>
      <c r="E5516" s="2" t="s">
        <v>234</v>
      </c>
    </row>
    <row r="5517">
      <c r="A5517" s="2" t="s">
        <v>5101</v>
      </c>
      <c r="B5517" s="2" t="s">
        <v>5100</v>
      </c>
      <c r="C5517" s="2" t="s">
        <v>5103</v>
      </c>
      <c r="D5517" s="3" t="str">
        <f>HYPERLINK("https://12go.asia/en/travel/Koh-Ngai-Transfer/Koh-Muk-Pier", "12Go Link")</f>
        <v>12Go Link</v>
      </c>
      <c r="E5517" s="2" t="s">
        <v>234</v>
      </c>
    </row>
    <row r="5518">
      <c r="A5518" s="2" t="s">
        <v>4937</v>
      </c>
      <c r="B5518" s="2" t="s">
        <v>4928</v>
      </c>
      <c r="C5518" s="2" t="s">
        <v>5104</v>
      </c>
      <c r="D5518" s="3" t="str">
        <f>HYPERLINK("https://12go.asia/en/travel/Lomprayah-Office-Koh-Phangan/Khao-Sok-Van-Station", "12Go Link")</f>
        <v>12Go Link</v>
      </c>
      <c r="E5518" s="2" t="s">
        <v>5105</v>
      </c>
    </row>
    <row r="5519">
      <c r="A5519" s="2" t="s">
        <v>4937</v>
      </c>
      <c r="B5519" s="2" t="s">
        <v>4931</v>
      </c>
      <c r="C5519" s="2" t="s">
        <v>5106</v>
      </c>
      <c r="D5519" s="3" t="str">
        <f>HYPERLINK("https://12go.asia/en/travel/Koh-Phangan-Lomprayah-Office/Koh-Lanta", "12Go Link")</f>
        <v>12Go Link</v>
      </c>
      <c r="E5519" s="2" t="s">
        <v>5107</v>
      </c>
    </row>
    <row r="5520">
      <c r="A5520" s="2" t="s">
        <v>4937</v>
      </c>
      <c r="B5520" s="2" t="s">
        <v>4939</v>
      </c>
      <c r="C5520" s="2" t="s">
        <v>5108</v>
      </c>
      <c r="D5520" s="3" t="str">
        <f>HYPERLINK("https://12go.asia/en/travel/Koh-Phangan-Lomprayah-Office/Ton-Sai-Pier-Koh-Phi-Phi", "12Go Link")</f>
        <v>12Go Link</v>
      </c>
      <c r="E5520" s="2" t="s">
        <v>5109</v>
      </c>
    </row>
    <row r="5521">
      <c r="A5521" s="2" t="s">
        <v>4937</v>
      </c>
      <c r="B5521" s="2" t="s">
        <v>4945</v>
      </c>
      <c r="C5521" s="2" t="s">
        <v>5110</v>
      </c>
      <c r="D5521" s="3" t="str">
        <f>HYPERLINK("https://12go.asia/en/travel/Koh-Phangan-Lomprayah-Office/Lomprayah-Bangrak-Pier", "12Go Link")</f>
        <v>12Go Link</v>
      </c>
      <c r="E5521" s="2" t="s">
        <v>234</v>
      </c>
    </row>
    <row r="5522">
      <c r="A5522" s="2" t="s">
        <v>4937</v>
      </c>
      <c r="B5522" s="2" t="s">
        <v>4945</v>
      </c>
      <c r="C5522" s="2" t="s">
        <v>5111</v>
      </c>
      <c r="D5522" s="3" t="str">
        <f>HYPERLINK("https://12go.asia/en/travel/Koh-Phangan-Lomprayah-Office/Maenam-Pier", "12Go Link")</f>
        <v>12Go Link</v>
      </c>
      <c r="E5522" s="2" t="s">
        <v>234</v>
      </c>
    </row>
    <row r="5523">
      <c r="A5523" s="2" t="s">
        <v>4937</v>
      </c>
      <c r="B5523" s="2" t="s">
        <v>4945</v>
      </c>
      <c r="C5523" s="2" t="s">
        <v>5112</v>
      </c>
      <c r="D5523" s="3" t="str">
        <f>HYPERLINK("https://12go.asia/en/travel/Koh-Phangan-Lomprayah-Office/Maenam-Samui", "12Go Link")</f>
        <v>12Go Link</v>
      </c>
      <c r="E5523" s="2" t="s">
        <v>234</v>
      </c>
    </row>
    <row r="5524">
      <c r="A5524" s="2" t="s">
        <v>4937</v>
      </c>
      <c r="B5524" s="2" t="s">
        <v>4978</v>
      </c>
      <c r="C5524" s="2" t="s">
        <v>5113</v>
      </c>
      <c r="D5524" s="3" t="str">
        <f>HYPERLINK("https://12go.asia/en/travel/Koh-Phangan-Lomprayah-Office/Mae-Haad-Koh-Tao", "12Go Link")</f>
        <v>12Go Link</v>
      </c>
      <c r="E5524" s="2" t="s">
        <v>234</v>
      </c>
    </row>
    <row r="5525">
      <c r="A5525" s="2" t="s">
        <v>4937</v>
      </c>
      <c r="B5525" s="2" t="s">
        <v>4224</v>
      </c>
      <c r="C5525" s="2" t="s">
        <v>5114</v>
      </c>
      <c r="D5525" s="3" t="str">
        <f>HYPERLINK("https://12go.asia/en/travel/Koh-Phangan-Lomprayah-Office/Krabi-Lomprayah-Office", "12Go Link")</f>
        <v>12Go Link</v>
      </c>
      <c r="E5525" s="2" t="s">
        <v>5115</v>
      </c>
    </row>
    <row r="5526">
      <c r="A5526" s="2" t="s">
        <v>4937</v>
      </c>
      <c r="B5526" s="2" t="s">
        <v>5062</v>
      </c>
      <c r="C5526" s="2" t="s">
        <v>5116</v>
      </c>
      <c r="D5526" s="3" t="str">
        <f>HYPERLINK("https://12go.asia/en/travel/Koh-Phangan-Lomprayah-Office/Railay-West", "12Go Link")</f>
        <v>12Go Link</v>
      </c>
      <c r="E5526" s="2" t="s">
        <v>5117</v>
      </c>
    </row>
    <row r="5527">
      <c r="A5527" s="2" t="s">
        <v>4937</v>
      </c>
      <c r="B5527" s="2" t="s">
        <v>5027</v>
      </c>
      <c r="C5527" s="2" t="s">
        <v>5118</v>
      </c>
      <c r="D5527" s="3" t="str">
        <f>HYPERLINK("https://12go.asia/en/travel/Koh-Phangan-Lomprayah-Office/Surat-Thani-Train-Station", "12Go Link")</f>
        <v>12Go Link</v>
      </c>
      <c r="E5527" s="2" t="s">
        <v>5115</v>
      </c>
    </row>
    <row r="5528">
      <c r="A5528" s="2" t="s">
        <v>4937</v>
      </c>
      <c r="B5528" s="2" t="s">
        <v>5027</v>
      </c>
      <c r="C5528" s="2" t="s">
        <v>5119</v>
      </c>
      <c r="D5528" s="3" t="str">
        <f>HYPERLINK("https://12go.asia/en/travel/Koh-Phangan-Lomprayah-Office/Tapee-pier-Lomprayah", "12Go Link")</f>
        <v>12Go Link</v>
      </c>
      <c r="E5528" s="2" t="s">
        <v>234</v>
      </c>
    </row>
    <row r="5529">
      <c r="A5529" s="2" t="s">
        <v>4937</v>
      </c>
      <c r="B5529" s="2" t="s">
        <v>5120</v>
      </c>
      <c r="C5529" s="2" t="s">
        <v>5121</v>
      </c>
      <c r="D5529" s="3" t="str">
        <f>HYPERLINK("https://12go.asia/en/travel/Koh-Phangan-Lomprayah-Office/Surat-Thani-Airport", "12Go Link")</f>
        <v>12Go Link</v>
      </c>
      <c r="E5529" s="2" t="s">
        <v>5122</v>
      </c>
    </row>
    <row r="5530">
      <c r="A5530" s="2" t="s">
        <v>5123</v>
      </c>
      <c r="B5530" s="2" t="s">
        <v>3850</v>
      </c>
      <c r="C5530" s="2" t="s">
        <v>5124</v>
      </c>
      <c r="D5530" s="3" t="str">
        <f t="shared" ref="D5530:D5532" si="929">HYPERLINK("https://12go.asia/en/travel/Koh-Phayam/Southern-Terminal-Bangkok", "12Go Link")</f>
        <v>12Go Link</v>
      </c>
      <c r="E5530" s="2" t="s">
        <v>5125</v>
      </c>
    </row>
    <row r="5531">
      <c r="A5531" s="2" t="s">
        <v>5123</v>
      </c>
      <c r="B5531" s="2" t="s">
        <v>3850</v>
      </c>
      <c r="C5531" s="2" t="s">
        <v>5124</v>
      </c>
      <c r="D5531" s="3" t="str">
        <f t="shared" si="929"/>
        <v>12Go Link</v>
      </c>
      <c r="E5531" s="2" t="s">
        <v>5126</v>
      </c>
    </row>
    <row r="5532">
      <c r="A5532" s="2" t="s">
        <v>5123</v>
      </c>
      <c r="B5532" s="2" t="s">
        <v>3850</v>
      </c>
      <c r="C5532" s="2" t="s">
        <v>5124</v>
      </c>
      <c r="D5532" s="3" t="str">
        <f t="shared" si="929"/>
        <v>12Go Link</v>
      </c>
      <c r="E5532" s="2" t="s">
        <v>5127</v>
      </c>
    </row>
    <row r="5533">
      <c r="A5533" s="2" t="s">
        <v>4939</v>
      </c>
      <c r="B5533" s="2" t="s">
        <v>4927</v>
      </c>
      <c r="C5533" s="2" t="s">
        <v>5128</v>
      </c>
      <c r="D5533" s="3" t="str">
        <f>HYPERLINK("https://12go.asia/en/travel/Ton-Sai-Pier-Koh-Phi-Phi/Ao-Nang-Transfer-except-Krabi-Town-and-Railay", "12Go Link")</f>
        <v>12Go Link</v>
      </c>
      <c r="E5533" s="2" t="s">
        <v>4943</v>
      </c>
    </row>
    <row r="5534">
      <c r="A5534" s="2" t="s">
        <v>4939</v>
      </c>
      <c r="B5534" s="2" t="s">
        <v>4927</v>
      </c>
      <c r="C5534" s="2" t="s">
        <v>5129</v>
      </c>
      <c r="D5534" s="3" t="str">
        <f>HYPERLINK("https://12go.asia/en/travel/Ton-Sai-Pier-Koh-Phi-Phi/Wangsai-Pier", "12Go Link")</f>
        <v>12Go Link</v>
      </c>
      <c r="E5534" s="2" t="s">
        <v>234</v>
      </c>
    </row>
    <row r="5535">
      <c r="A5535" s="2" t="s">
        <v>4939</v>
      </c>
      <c r="B5535" s="2" t="s">
        <v>4928</v>
      </c>
      <c r="C5535" s="2" t="s">
        <v>5130</v>
      </c>
      <c r="D5535" s="3" t="str">
        <f>HYPERLINK("https://12go.asia/en/travel/Koh-Phi-Phi-Ton-Sai-Pier/Khao-Sok-Bus-Stop", "12Go Link")</f>
        <v>12Go Link</v>
      </c>
      <c r="E5535" s="2" t="s">
        <v>4935</v>
      </c>
    </row>
    <row r="5536">
      <c r="A5536" s="2" t="s">
        <v>4939</v>
      </c>
      <c r="B5536" s="2" t="s">
        <v>4937</v>
      </c>
      <c r="C5536" s="2" t="s">
        <v>5131</v>
      </c>
      <c r="D5536" s="3" t="str">
        <f>HYPERLINK("https://12go.asia/en/travel/Koh-Phi-Phi-Ton-Sai-Pier/Thong-Sala", "12Go Link")</f>
        <v>12Go Link</v>
      </c>
      <c r="E5536" s="2" t="s">
        <v>4935</v>
      </c>
    </row>
    <row r="5537">
      <c r="A5537" s="2" t="s">
        <v>4939</v>
      </c>
      <c r="B5537" s="2" t="s">
        <v>4945</v>
      </c>
      <c r="C5537" s="2" t="s">
        <v>5132</v>
      </c>
      <c r="D5537" s="3" t="str">
        <f>HYPERLINK("https://12go.asia/en/travel/Koh-Phi-Phi-Ton-Sai-Pier/Na-Thon-Seatran-Ferry-Pier", "12Go Link")</f>
        <v>12Go Link</v>
      </c>
      <c r="E5537" s="2" t="s">
        <v>4935</v>
      </c>
    </row>
    <row r="5538">
      <c r="A5538" s="2" t="s">
        <v>4939</v>
      </c>
      <c r="B5538" s="2" t="s">
        <v>4224</v>
      </c>
      <c r="C5538" s="2" t="s">
        <v>5133</v>
      </c>
      <c r="D5538" s="3" t="str">
        <f>HYPERLINK("https://12go.asia/en/travel/laem-tong-beach-koh-phi-phi/klong-jilad-pier-krabi", "12Go Link")</f>
        <v>12Go Link</v>
      </c>
      <c r="E5538" s="2" t="s">
        <v>3897</v>
      </c>
    </row>
    <row r="5539">
      <c r="A5539" s="2" t="s">
        <v>4939</v>
      </c>
      <c r="B5539" s="2" t="s">
        <v>4224</v>
      </c>
      <c r="C5539" s="2" t="s">
        <v>5134</v>
      </c>
      <c r="D5539" s="3" t="str">
        <f t="shared" ref="D5539:D5540" si="930">HYPERLINK("https://12go.asia/en/travel/ton-sai-pier-koh-phi-phi/klong-jilad-pier-krabi", "12Go Link")</f>
        <v>12Go Link</v>
      </c>
      <c r="E5539" s="2" t="s">
        <v>3897</v>
      </c>
    </row>
    <row r="5540">
      <c r="A5540" s="2" t="s">
        <v>4939</v>
      </c>
      <c r="B5540" s="2" t="s">
        <v>4224</v>
      </c>
      <c r="C5540" s="2" t="s">
        <v>5134</v>
      </c>
      <c r="D5540" s="3" t="str">
        <f t="shared" si="930"/>
        <v>12Go Link</v>
      </c>
      <c r="E5540" s="2" t="s">
        <v>3897</v>
      </c>
    </row>
    <row r="5541">
      <c r="A5541" s="2" t="s">
        <v>4939</v>
      </c>
      <c r="B5541" s="2" t="s">
        <v>4228</v>
      </c>
      <c r="C5541" s="2" t="s">
        <v>5135</v>
      </c>
      <c r="D5541" s="3" t="str">
        <f>HYPERLINK("https://12go.asia/en/travel/Ton-Sai-Pier-Koh-Phi-Phi/Phuket-Town-Transfer", "12Go Link")</f>
        <v>12Go Link</v>
      </c>
      <c r="E5541" s="2" t="s">
        <v>5136</v>
      </c>
    </row>
    <row r="5542">
      <c r="A5542" s="2" t="s">
        <v>4939</v>
      </c>
      <c r="B5542" s="2" t="s">
        <v>5062</v>
      </c>
      <c r="C5542" s="2" t="s">
        <v>5137</v>
      </c>
      <c r="D5542" s="3" t="str">
        <f>HYPERLINK("https://12go.asia/en/travel/Ton-Sai-Pier-Koh-Phi-Phi/Floating-Pier-East-Railay", "12Go Link")</f>
        <v>12Go Link</v>
      </c>
      <c r="E5542" s="2" t="s">
        <v>234</v>
      </c>
    </row>
    <row r="5543">
      <c r="A5543" s="2" t="s">
        <v>4945</v>
      </c>
      <c r="B5543" s="2" t="s">
        <v>3850</v>
      </c>
      <c r="C5543" s="2" t="s">
        <v>5138</v>
      </c>
      <c r="D5543" s="3" t="str">
        <f>HYPERLINK("https://12go.asia/en/travel/Samui-Airport/Don-Mueang-International-Airport", "12Go Link")</f>
        <v>12Go Link</v>
      </c>
      <c r="E5543" s="2" t="s">
        <v>4958</v>
      </c>
    </row>
    <row r="5544">
      <c r="A5544" s="2" t="s">
        <v>4945</v>
      </c>
      <c r="B5544" s="2" t="s">
        <v>4928</v>
      </c>
      <c r="C5544" s="2" t="s">
        <v>5139</v>
      </c>
      <c r="D5544" s="3" t="str">
        <f>HYPERLINK("https://12go.asia/en/travel/Lomprayah-Nathon-Pier/Khao-Sok-Van-Station", "12Go Link")</f>
        <v>12Go Link</v>
      </c>
      <c r="E5544" s="2" t="s">
        <v>5105</v>
      </c>
    </row>
    <row r="5545">
      <c r="A5545" s="2" t="s">
        <v>4945</v>
      </c>
      <c r="B5545" s="2" t="s">
        <v>4931</v>
      </c>
      <c r="C5545" s="2" t="s">
        <v>5140</v>
      </c>
      <c r="D5545" s="3" t="str">
        <f>HYPERLINK("https://12go.asia/en/travel/Maenam-Pier/Koh-Lanta", "12Go Link")</f>
        <v>12Go Link</v>
      </c>
      <c r="E5545" s="2" t="s">
        <v>5107</v>
      </c>
    </row>
    <row r="5546">
      <c r="A5546" s="2" t="s">
        <v>4945</v>
      </c>
      <c r="B5546" s="2" t="s">
        <v>4937</v>
      </c>
      <c r="C5546" s="2" t="s">
        <v>5141</v>
      </c>
      <c r="D5546" s="3" t="str">
        <f>HYPERLINK("https://12go.asia/en/travel/Lomprayah-Bangrak-Pier/Koh-Phangan-Lomprayah-Office", "12Go Link")</f>
        <v>12Go Link</v>
      </c>
      <c r="E5546" s="2" t="s">
        <v>234</v>
      </c>
    </row>
    <row r="5547">
      <c r="A5547" s="2" t="s">
        <v>4945</v>
      </c>
      <c r="B5547" s="2" t="s">
        <v>4937</v>
      </c>
      <c r="C5547" s="2" t="s">
        <v>5142</v>
      </c>
      <c r="D5547" s="3" t="str">
        <f>HYPERLINK("https://12go.asia/en/travel/Maenam-Pier/Koh-Phangan-Lomprayah-Office", "12Go Link")</f>
        <v>12Go Link</v>
      </c>
      <c r="E5547" s="2" t="s">
        <v>234</v>
      </c>
    </row>
    <row r="5548">
      <c r="A5548" s="2" t="s">
        <v>4945</v>
      </c>
      <c r="B5548" s="2" t="s">
        <v>4937</v>
      </c>
      <c r="C5548" s="2" t="s">
        <v>5143</v>
      </c>
      <c r="D5548" s="3" t="str">
        <f>HYPERLINK("https://12go.asia/en/travel/Maenam-Samui/Koh-Phangan-Lomprayah-Office", "12Go Link")</f>
        <v>12Go Link</v>
      </c>
      <c r="E5548" s="2" t="s">
        <v>234</v>
      </c>
    </row>
    <row r="5549">
      <c r="A5549" s="2" t="s">
        <v>4945</v>
      </c>
      <c r="B5549" s="2" t="s">
        <v>4939</v>
      </c>
      <c r="C5549" s="2" t="s">
        <v>5144</v>
      </c>
      <c r="D5549" s="3" t="str">
        <f>HYPERLINK("https://12go.asia/en/travel/Maenam-Pier/Ton-Sai-Pier-Koh-Phi-Phi", "12Go Link")</f>
        <v>12Go Link</v>
      </c>
      <c r="E5549" s="2" t="s">
        <v>5109</v>
      </c>
    </row>
    <row r="5550">
      <c r="A5550" s="2" t="s">
        <v>4945</v>
      </c>
      <c r="B5550" s="2" t="s">
        <v>4978</v>
      </c>
      <c r="C5550" s="2" t="s">
        <v>5145</v>
      </c>
      <c r="D5550" s="3" t="str">
        <f>HYPERLINK("https://12go.asia/en/travel/Lomprayah-Bangrak-Pier/Mae-Haad-Koh-Tao", "12Go Link")</f>
        <v>12Go Link</v>
      </c>
      <c r="E5550" s="2" t="s">
        <v>234</v>
      </c>
    </row>
    <row r="5551">
      <c r="A5551" s="2" t="s">
        <v>4945</v>
      </c>
      <c r="B5551" s="2" t="s">
        <v>4978</v>
      </c>
      <c r="C5551" s="2" t="s">
        <v>5146</v>
      </c>
      <c r="D5551" s="3" t="str">
        <f>HYPERLINK("https://12go.asia/en/travel/Maenam-Pier/Mae-Haad-Koh-Tao", "12Go Link")</f>
        <v>12Go Link</v>
      </c>
      <c r="E5551" s="2" t="s">
        <v>234</v>
      </c>
    </row>
    <row r="5552">
      <c r="A5552" s="2" t="s">
        <v>4945</v>
      </c>
      <c r="B5552" s="2" t="s">
        <v>4224</v>
      </c>
      <c r="C5552" s="2" t="s">
        <v>5147</v>
      </c>
      <c r="D5552" s="3" t="str">
        <f>HYPERLINK("https://12go.asia/en/travel/Koh-Samui-Transfer/Krabi-Hotel-Transfer", "12Go Link")</f>
        <v>12Go Link</v>
      </c>
      <c r="E5552" s="2" t="s">
        <v>5148</v>
      </c>
    </row>
    <row r="5553">
      <c r="A5553" s="2" t="s">
        <v>4945</v>
      </c>
      <c r="B5553" s="2" t="s">
        <v>4224</v>
      </c>
      <c r="C5553" s="2" t="s">
        <v>5149</v>
      </c>
      <c r="D5553" s="3" t="str">
        <f>HYPERLINK("https://12go.asia/en/travel/Maenam-Pier/Krabi-Lomprayah-Office", "12Go Link")</f>
        <v>12Go Link</v>
      </c>
      <c r="E5553" s="2" t="s">
        <v>5115</v>
      </c>
    </row>
    <row r="5554">
      <c r="A5554" s="2" t="s">
        <v>4945</v>
      </c>
      <c r="B5554" s="2" t="s">
        <v>5062</v>
      </c>
      <c r="C5554" s="2" t="s">
        <v>5150</v>
      </c>
      <c r="D5554" s="3" t="str">
        <f>HYPERLINK("https://12go.asia/en/travel/Maenam-Pier/Railay-West", "12Go Link")</f>
        <v>12Go Link</v>
      </c>
      <c r="E5554" s="2" t="s">
        <v>5117</v>
      </c>
    </row>
    <row r="5555">
      <c r="A5555" s="2" t="s">
        <v>4945</v>
      </c>
      <c r="B5555" s="2" t="s">
        <v>5027</v>
      </c>
      <c r="C5555" s="2" t="s">
        <v>5151</v>
      </c>
      <c r="D5555" s="3" t="str">
        <f>HYPERLINK("https://12go.asia/en/travel/Maenam-Pier/Surat-Thani-Train-Station", "12Go Link")</f>
        <v>12Go Link</v>
      </c>
      <c r="E5555" s="2" t="s">
        <v>5115</v>
      </c>
    </row>
    <row r="5556">
      <c r="A5556" s="2" t="s">
        <v>4945</v>
      </c>
      <c r="B5556" s="2" t="s">
        <v>5027</v>
      </c>
      <c r="C5556" s="2" t="s">
        <v>5152</v>
      </c>
      <c r="D5556" s="3" t="str">
        <f>HYPERLINK("https://12go.asia/en/travel/Maenam-Pier/Tapee-pier-Lomprayah", "12Go Link")</f>
        <v>12Go Link</v>
      </c>
      <c r="E5556" s="2" t="s">
        <v>234</v>
      </c>
    </row>
    <row r="5557">
      <c r="A5557" s="2" t="s">
        <v>4945</v>
      </c>
      <c r="B5557" s="2" t="s">
        <v>5120</v>
      </c>
      <c r="C5557" s="2" t="s">
        <v>5153</v>
      </c>
      <c r="D5557" s="3" t="str">
        <f>HYPERLINK("https://12go.asia/en/travel/Maenam-Pier/Surat-Thani-Airport", "12Go Link")</f>
        <v>12Go Link</v>
      </c>
      <c r="E5557" s="2" t="s">
        <v>5122</v>
      </c>
    </row>
    <row r="5558">
      <c r="A5558" s="2" t="s">
        <v>4978</v>
      </c>
      <c r="B5558" s="2" t="s">
        <v>4931</v>
      </c>
      <c r="C5558" s="2" t="s">
        <v>5154</v>
      </c>
      <c r="D5558" s="3" t="str">
        <f>HYPERLINK("https://12go.asia/en/travel/Mae-Haad-Koh-Tao/Koh-Lanta", "12Go Link")</f>
        <v>12Go Link</v>
      </c>
      <c r="E5558" s="2" t="s">
        <v>5107</v>
      </c>
    </row>
    <row r="5559">
      <c r="A5559" s="2" t="s">
        <v>4978</v>
      </c>
      <c r="B5559" s="2" t="s">
        <v>4937</v>
      </c>
      <c r="C5559" s="2" t="s">
        <v>5155</v>
      </c>
      <c r="D5559" s="3" t="str">
        <f>HYPERLINK("https://12go.asia/en/travel/Mae-Haad-Koh-Tao/Koh-Phangan-Lomprayah-Office", "12Go Link")</f>
        <v>12Go Link</v>
      </c>
      <c r="E5559" s="2" t="s">
        <v>234</v>
      </c>
    </row>
    <row r="5560">
      <c r="A5560" s="2" t="s">
        <v>4978</v>
      </c>
      <c r="B5560" s="2" t="s">
        <v>4939</v>
      </c>
      <c r="C5560" s="2" t="s">
        <v>5156</v>
      </c>
      <c r="D5560" s="3" t="str">
        <f>HYPERLINK("https://12go.asia/en/travel/Mae-Haad-Koh-Tao/Ton-Sai-Pier-Koh-Phi-Phi", "12Go Link")</f>
        <v>12Go Link</v>
      </c>
      <c r="E5560" s="2" t="s">
        <v>5109</v>
      </c>
    </row>
    <row r="5561">
      <c r="A5561" s="2" t="s">
        <v>4978</v>
      </c>
      <c r="B5561" s="2" t="s">
        <v>4945</v>
      </c>
      <c r="C5561" s="2" t="s">
        <v>5157</v>
      </c>
      <c r="D5561" s="3" t="str">
        <f>HYPERLINK("https://12go.asia/en/travel/Mae-Haad-Koh-Tao/Maenam-Pier", "12Go Link")</f>
        <v>12Go Link</v>
      </c>
      <c r="E5561" s="2" t="s">
        <v>234</v>
      </c>
    </row>
    <row r="5562">
      <c r="A5562" s="2" t="s">
        <v>4978</v>
      </c>
      <c r="B5562" s="2" t="s">
        <v>4224</v>
      </c>
      <c r="C5562" s="2" t="s">
        <v>5158</v>
      </c>
      <c r="D5562" s="3" t="str">
        <f>HYPERLINK("https://12go.asia/en/travel/Mae-Haad-Koh-Tao/Krabi-Lomprayah-Office", "12Go Link")</f>
        <v>12Go Link</v>
      </c>
      <c r="E5562" s="2" t="s">
        <v>5115</v>
      </c>
    </row>
    <row r="5563">
      <c r="A5563" s="2" t="s">
        <v>4978</v>
      </c>
      <c r="B5563" s="2" t="s">
        <v>5062</v>
      </c>
      <c r="C5563" s="2" t="s">
        <v>5159</v>
      </c>
      <c r="D5563" s="3" t="str">
        <f>HYPERLINK("https://12go.asia/en/travel/Mae-Haad-Koh-Tao/Railay-West", "12Go Link")</f>
        <v>12Go Link</v>
      </c>
      <c r="E5563" s="2" t="s">
        <v>5117</v>
      </c>
    </row>
    <row r="5564">
      <c r="A5564" s="2" t="s">
        <v>4978</v>
      </c>
      <c r="B5564" s="2" t="s">
        <v>5027</v>
      </c>
      <c r="C5564" s="2" t="s">
        <v>5160</v>
      </c>
      <c r="D5564" s="3" t="str">
        <f>HYPERLINK("https://12go.asia/en/travel/Mae-Haad-Koh-Tao/Surat-Thani-Train-Station", "12Go Link")</f>
        <v>12Go Link</v>
      </c>
      <c r="E5564" s="2" t="s">
        <v>5115</v>
      </c>
    </row>
    <row r="5565">
      <c r="A5565" s="2" t="s">
        <v>4978</v>
      </c>
      <c r="B5565" s="2" t="s">
        <v>5027</v>
      </c>
      <c r="C5565" s="2" t="s">
        <v>5161</v>
      </c>
      <c r="D5565" s="3" t="str">
        <f>HYPERLINK("https://12go.asia/en/travel/Mae-Haad-Koh-Tao/Tapee-pier-Lomprayah", "12Go Link")</f>
        <v>12Go Link</v>
      </c>
      <c r="E5565" s="2" t="s">
        <v>234</v>
      </c>
    </row>
    <row r="5566">
      <c r="A5566" s="2" t="s">
        <v>4978</v>
      </c>
      <c r="B5566" s="2" t="s">
        <v>5120</v>
      </c>
      <c r="C5566" s="2" t="s">
        <v>5162</v>
      </c>
      <c r="D5566" s="3" t="str">
        <f>HYPERLINK("https://12go.asia/en/travel/Mae-Haad-Koh-Tao/Surat-Thani-Airport", "12Go Link")</f>
        <v>12Go Link</v>
      </c>
      <c r="E5566" s="2" t="s">
        <v>5122</v>
      </c>
    </row>
    <row r="5567">
      <c r="A5567" s="2" t="s">
        <v>4224</v>
      </c>
      <c r="B5567" s="2" t="s">
        <v>3850</v>
      </c>
      <c r="C5567" s="2" t="s">
        <v>5163</v>
      </c>
      <c r="D5567" s="3" t="str">
        <f>HYPERLINK("https://12go.asia/en/travel/Krabi/Khaosan-The-Twin-2000-Samsen-Rd", "12Go Link")</f>
        <v>12Go Link</v>
      </c>
      <c r="E5567" s="2" t="s">
        <v>4956</v>
      </c>
    </row>
    <row r="5568">
      <c r="A5568" s="2" t="s">
        <v>4224</v>
      </c>
      <c r="B5568" s="2" t="s">
        <v>5101</v>
      </c>
      <c r="C5568" s="2" t="s">
        <v>5164</v>
      </c>
      <c r="D5568" s="3" t="str">
        <f>HYPERLINK("https://12go.asia/en/travel/Ao-Nang-Transfer/Koh-Ngai", "12Go Link")</f>
        <v>12Go Link</v>
      </c>
      <c r="E5568" s="2" t="s">
        <v>5165</v>
      </c>
    </row>
    <row r="5569">
      <c r="A5569" s="2" t="s">
        <v>4224</v>
      </c>
      <c r="B5569" s="2" t="s">
        <v>4937</v>
      </c>
      <c r="C5569" s="2" t="s">
        <v>5166</v>
      </c>
      <c r="D5569" s="3" t="str">
        <f>HYPERLINK("https://12go.asia/en/travel/Krabi-Lomprayah-Office/Koh-Phangan-Lomprayah-Office", "12Go Link")</f>
        <v>12Go Link</v>
      </c>
      <c r="E5569" s="2" t="s">
        <v>5167</v>
      </c>
    </row>
    <row r="5570">
      <c r="A5570" s="2" t="s">
        <v>4224</v>
      </c>
      <c r="B5570" s="2" t="s">
        <v>4939</v>
      </c>
      <c r="C5570" s="2" t="s">
        <v>5168</v>
      </c>
      <c r="D5570" s="3" t="str">
        <f>HYPERLINK("https://12go.asia/en/travel/klong-jilad-pier-krabi/laem-tong-beach-koh-phi-phi", "12Go Link")</f>
        <v>12Go Link</v>
      </c>
      <c r="E5570" s="2" t="s">
        <v>3897</v>
      </c>
    </row>
    <row r="5571">
      <c r="A5571" s="2" t="s">
        <v>4224</v>
      </c>
      <c r="B5571" s="2" t="s">
        <v>4939</v>
      </c>
      <c r="C5571" s="2" t="s">
        <v>5169</v>
      </c>
      <c r="D5571" s="3" t="str">
        <f t="shared" ref="D5571:D5572" si="931">HYPERLINK("https://12go.asia/en/travel/klong-jilad-pier-krabi/ton-sai-pier-koh-phi-phi", "12Go Link")</f>
        <v>12Go Link</v>
      </c>
      <c r="E5571" s="2" t="s">
        <v>3897</v>
      </c>
    </row>
    <row r="5572">
      <c r="A5572" s="2" t="s">
        <v>4224</v>
      </c>
      <c r="B5572" s="2" t="s">
        <v>4939</v>
      </c>
      <c r="C5572" s="2" t="s">
        <v>5169</v>
      </c>
      <c r="D5572" s="3" t="str">
        <f t="shared" si="931"/>
        <v>12Go Link</v>
      </c>
      <c r="E5572" s="2" t="s">
        <v>3897</v>
      </c>
    </row>
    <row r="5573">
      <c r="A5573" s="2" t="s">
        <v>4224</v>
      </c>
      <c r="B5573" s="2" t="s">
        <v>4945</v>
      </c>
      <c r="C5573" s="2" t="s">
        <v>5170</v>
      </c>
      <c r="D5573" s="3" t="str">
        <f>HYPERLINK("https://12go.asia/en/travel/Krabi-Lomprayah-Office/Maenam-Pier", "12Go Link")</f>
        <v>12Go Link</v>
      </c>
      <c r="E5573" s="2" t="s">
        <v>5167</v>
      </c>
    </row>
    <row r="5574">
      <c r="A5574" s="2" t="s">
        <v>4224</v>
      </c>
      <c r="B5574" s="2" t="s">
        <v>4978</v>
      </c>
      <c r="C5574" s="2" t="s">
        <v>5171</v>
      </c>
      <c r="D5574" s="3" t="str">
        <f>HYPERLINK("https://12go.asia/en/travel/Krabi-Lomprayah-Office/Mae-Haad-Koh-Tao", "12Go Link")</f>
        <v>12Go Link</v>
      </c>
      <c r="E5574" s="2" t="s">
        <v>5167</v>
      </c>
    </row>
    <row r="5575">
      <c r="A5575" s="2" t="s">
        <v>4224</v>
      </c>
      <c r="B5575" s="2" t="s">
        <v>4224</v>
      </c>
      <c r="C5575" s="2" t="s">
        <v>5172</v>
      </c>
      <c r="D5575" s="3" t="str">
        <f>HYPERLINK("https://12go.asia/en/travel/Krabi-Airport/Krabi-Hotel-Transfer", "12Go Link")</f>
        <v>12Go Link</v>
      </c>
      <c r="E5575" s="2" t="s">
        <v>5148</v>
      </c>
    </row>
    <row r="5576">
      <c r="A5576" s="2" t="s">
        <v>4224</v>
      </c>
      <c r="B5576" s="2" t="s">
        <v>4224</v>
      </c>
      <c r="C5576" s="2" t="s">
        <v>5173</v>
      </c>
      <c r="D5576" s="3" t="str">
        <f>HYPERLINK("https://12go.asia/en/travel/ao-nam-mao-pier/klong-jilad-pier-krabi", "12Go Link")</f>
        <v>12Go Link</v>
      </c>
      <c r="E5576" s="2" t="s">
        <v>3897</v>
      </c>
    </row>
    <row r="5577">
      <c r="A5577" s="2" t="s">
        <v>4224</v>
      </c>
      <c r="B5577" s="2" t="s">
        <v>5062</v>
      </c>
      <c r="C5577" s="2" t="s">
        <v>5174</v>
      </c>
      <c r="D5577" s="3" t="str">
        <f>HYPERLINK("https://12go.asia/en/travel/Krabi-Hotel-Transfer/Railay-Beach", "12Go Link")</f>
        <v>12Go Link</v>
      </c>
      <c r="E5577" s="2" t="s">
        <v>5175</v>
      </c>
    </row>
    <row r="5578">
      <c r="A5578" s="2" t="s">
        <v>4224</v>
      </c>
      <c r="B5578" s="2" t="s">
        <v>5176</v>
      </c>
      <c r="C5578" s="2" t="s">
        <v>5177</v>
      </c>
      <c r="D5578" s="3" t="str">
        <f>HYPERLINK("https://12go.asia/en/travel/klong-jilad-pier-krabi/rassada-pier", "12Go Link")</f>
        <v>12Go Link</v>
      </c>
      <c r="E5578" s="2" t="s">
        <v>3897</v>
      </c>
    </row>
    <row r="5579">
      <c r="A5579" s="2" t="s">
        <v>4224</v>
      </c>
      <c r="B5579" s="2" t="s">
        <v>4232</v>
      </c>
      <c r="C5579" s="2" t="s">
        <v>5178</v>
      </c>
      <c r="D5579" s="3" t="str">
        <f>HYPERLINK("https://12go.asia/en/travel/Ao-Nam-Mao-pier/Banphrao-Pier", "12Go Link")</f>
        <v>12Go Link</v>
      </c>
      <c r="E5579" s="2" t="s">
        <v>5165</v>
      </c>
    </row>
    <row r="5580">
      <c r="A5580" s="2" t="s">
        <v>4224</v>
      </c>
      <c r="B5580" s="2" t="s">
        <v>4232</v>
      </c>
      <c r="C5580" s="2" t="s">
        <v>5179</v>
      </c>
      <c r="D5580" s="3" t="str">
        <f>HYPERLINK("https://12go.asia/en/travel/Ao-Nang-Transfer/Banphrao-Pier", "12Go Link")</f>
        <v>12Go Link</v>
      </c>
      <c r="E5580" s="2" t="s">
        <v>5165</v>
      </c>
    </row>
    <row r="5581">
      <c r="A5581" s="2" t="s">
        <v>4224</v>
      </c>
      <c r="B5581" s="2" t="s">
        <v>4232</v>
      </c>
      <c r="C5581" s="2" t="s">
        <v>5180</v>
      </c>
      <c r="D5581" s="3" t="str">
        <f>HYPERLINK("https://12go.asia/en/travel/Krabi-Town-Transfer/Banphrao-Pier", "12Go Link")</f>
        <v>12Go Link</v>
      </c>
      <c r="E5581" s="2" t="s">
        <v>5165</v>
      </c>
    </row>
    <row r="5582">
      <c r="A5582" s="2" t="s">
        <v>5181</v>
      </c>
      <c r="B5582" s="2" t="s">
        <v>4952</v>
      </c>
      <c r="C5582" s="2" t="s">
        <v>5182</v>
      </c>
      <c r="D5582" s="3" t="str">
        <f>HYPERLINK("https://12go.asia/en/travel/Lampang-Hotel-Transfer/Sukhothai-Hotel-Transfer", "12Go Link")</f>
        <v>12Go Link</v>
      </c>
      <c r="E5582" s="2" t="s">
        <v>4954</v>
      </c>
    </row>
    <row r="5583">
      <c r="A5583" s="2" t="s">
        <v>5183</v>
      </c>
      <c r="B5583" s="2" t="s">
        <v>302</v>
      </c>
      <c r="C5583" s="2" t="s">
        <v>5184</v>
      </c>
      <c r="D5583" s="3" t="str">
        <f>HYPERLINK("https://12go.asia/en/travel/naka-island/pattaya", "12Go Link")</f>
        <v>12Go Link</v>
      </c>
      <c r="E5583" s="2" t="s">
        <v>60</v>
      </c>
    </row>
    <row r="5584">
      <c r="A5584" s="2" t="s">
        <v>5183</v>
      </c>
      <c r="B5584" s="2" t="s">
        <v>4992</v>
      </c>
      <c r="C5584" s="2" t="s">
        <v>5185</v>
      </c>
      <c r="D5584" s="3" t="str">
        <f>HYPERLINK("https://12go.asia/en/travel/naka-island/rayong", "12Go Link")</f>
        <v>12Go Link</v>
      </c>
      <c r="E5584" s="2" t="s">
        <v>60</v>
      </c>
    </row>
    <row r="5585">
      <c r="A5585" s="2" t="s">
        <v>4146</v>
      </c>
      <c r="B5585" s="2" t="s">
        <v>3850</v>
      </c>
      <c r="C5585" s="2" t="s">
        <v>5186</v>
      </c>
      <c r="D5585" s="3" t="str">
        <f t="shared" ref="D5585:D5587" si="932">HYPERLINK("https://12go.asia/en/travel/Phimai/Bangkok-Transfer", "12Go Link")</f>
        <v>12Go Link</v>
      </c>
      <c r="E5585" s="2" t="s">
        <v>4984</v>
      </c>
    </row>
    <row r="5586">
      <c r="A5586" s="2" t="s">
        <v>4146</v>
      </c>
      <c r="B5586" s="2" t="s">
        <v>3850</v>
      </c>
      <c r="C5586" s="2" t="s">
        <v>5186</v>
      </c>
      <c r="D5586" s="3" t="str">
        <f t="shared" si="932"/>
        <v>12Go Link</v>
      </c>
      <c r="E5586" s="2" t="s">
        <v>4985</v>
      </c>
    </row>
    <row r="5587">
      <c r="A5587" s="2" t="s">
        <v>4146</v>
      </c>
      <c r="B5587" s="2" t="s">
        <v>3850</v>
      </c>
      <c r="C5587" s="2" t="s">
        <v>5186</v>
      </c>
      <c r="D5587" s="3" t="str">
        <f t="shared" si="932"/>
        <v>12Go Link</v>
      </c>
      <c r="E5587" s="2" t="s">
        <v>4986</v>
      </c>
    </row>
    <row r="5588">
      <c r="A5588" s="2" t="s">
        <v>4146</v>
      </c>
      <c r="B5588" s="2" t="s">
        <v>302</v>
      </c>
      <c r="C5588" s="2" t="s">
        <v>5187</v>
      </c>
      <c r="D5588" s="3" t="str">
        <f t="shared" ref="D5588:D5590" si="933">HYPERLINK("https://12go.asia/en/travel/Phimai/Pattaya-Transfer", "12Go Link")</f>
        <v>12Go Link</v>
      </c>
      <c r="E5588" s="2" t="s">
        <v>4984</v>
      </c>
    </row>
    <row r="5589">
      <c r="A5589" s="2" t="s">
        <v>4146</v>
      </c>
      <c r="B5589" s="2" t="s">
        <v>302</v>
      </c>
      <c r="C5589" s="2" t="s">
        <v>5187</v>
      </c>
      <c r="D5589" s="3" t="str">
        <f t="shared" si="933"/>
        <v>12Go Link</v>
      </c>
      <c r="E5589" s="2" t="s">
        <v>4985</v>
      </c>
    </row>
    <row r="5590">
      <c r="A5590" s="2" t="s">
        <v>4146</v>
      </c>
      <c r="B5590" s="2" t="s">
        <v>302</v>
      </c>
      <c r="C5590" s="2" t="s">
        <v>5187</v>
      </c>
      <c r="D5590" s="3" t="str">
        <f t="shared" si="933"/>
        <v>12Go Link</v>
      </c>
      <c r="E5590" s="2" t="s">
        <v>4986</v>
      </c>
    </row>
    <row r="5591">
      <c r="A5591" s="2" t="s">
        <v>4148</v>
      </c>
      <c r="B5591" s="2" t="s">
        <v>3850</v>
      </c>
      <c r="C5591" s="2" t="s">
        <v>5188</v>
      </c>
      <c r="D5591" s="3" t="str">
        <f t="shared" ref="D5591:D5592" si="934">HYPERLINK("https://12go.asia/en/travel/Nong-Khai-Hotel-Transfer/Bangkok-Transfer", "12Go Link")</f>
        <v>12Go Link</v>
      </c>
      <c r="E5591" s="2" t="s">
        <v>215</v>
      </c>
    </row>
    <row r="5592">
      <c r="A5592" s="2" t="s">
        <v>4148</v>
      </c>
      <c r="B5592" s="2" t="s">
        <v>3850</v>
      </c>
      <c r="C5592" s="2" t="s">
        <v>5188</v>
      </c>
      <c r="D5592" s="3" t="str">
        <f t="shared" si="934"/>
        <v>12Go Link</v>
      </c>
      <c r="E5592" s="2" t="s">
        <v>4119</v>
      </c>
    </row>
    <row r="5593">
      <c r="A5593" s="2" t="s">
        <v>4148</v>
      </c>
      <c r="B5593" s="2" t="s">
        <v>4143</v>
      </c>
      <c r="C5593" s="2" t="s">
        <v>5189</v>
      </c>
      <c r="D5593" s="3" t="str">
        <f t="shared" ref="D5593:D5594" si="935">HYPERLINK("https://12go.asia/en/travel/Nong-Khai-Hotel-Transfer/Khon-Kaen-Hotel-Transfer", "12Go Link")</f>
        <v>12Go Link</v>
      </c>
      <c r="E5593" s="2" t="s">
        <v>215</v>
      </c>
    </row>
    <row r="5594">
      <c r="A5594" s="2" t="s">
        <v>4148</v>
      </c>
      <c r="B5594" s="2" t="s">
        <v>4143</v>
      </c>
      <c r="C5594" s="2" t="s">
        <v>5189</v>
      </c>
      <c r="D5594" s="3" t="str">
        <f t="shared" si="935"/>
        <v>12Go Link</v>
      </c>
      <c r="E5594" s="2" t="s">
        <v>4119</v>
      </c>
    </row>
    <row r="5595">
      <c r="A5595" s="2" t="s">
        <v>4148</v>
      </c>
      <c r="B5595" s="2" t="s">
        <v>4146</v>
      </c>
      <c r="C5595" s="2" t="s">
        <v>5190</v>
      </c>
      <c r="D5595" s="3" t="str">
        <f t="shared" ref="D5595:D5596" si="936">HYPERLINK("https://12go.asia/en/travel/Nong-Khai-Hotel-Transfer/Nakhon-Ratchasima-Hotel-Transfer", "12Go Link")</f>
        <v>12Go Link</v>
      </c>
      <c r="E5595" s="2" t="s">
        <v>215</v>
      </c>
    </row>
    <row r="5596">
      <c r="A5596" s="2" t="s">
        <v>4148</v>
      </c>
      <c r="B5596" s="2" t="s">
        <v>4146</v>
      </c>
      <c r="C5596" s="2" t="s">
        <v>5190</v>
      </c>
      <c r="D5596" s="3" t="str">
        <f t="shared" si="936"/>
        <v>12Go Link</v>
      </c>
      <c r="E5596" s="2" t="s">
        <v>4119</v>
      </c>
    </row>
    <row r="5597">
      <c r="A5597" s="2" t="s">
        <v>302</v>
      </c>
      <c r="B5597" s="2" t="s">
        <v>5009</v>
      </c>
      <c r="C5597" s="2" t="s">
        <v>5191</v>
      </c>
      <c r="D5597" s="3" t="str">
        <f t="shared" ref="D5597:D5600" si="937">HYPERLINK("https://12go.asia/en/travel/Pattaya-Hotel-Transfer/Donsak-Piers", "12Go Link")</f>
        <v>12Go Link</v>
      </c>
      <c r="E5597" s="2" t="s">
        <v>4968</v>
      </c>
    </row>
    <row r="5598">
      <c r="A5598" s="2" t="s">
        <v>302</v>
      </c>
      <c r="B5598" s="2" t="s">
        <v>5009</v>
      </c>
      <c r="C5598" s="2" t="s">
        <v>5191</v>
      </c>
      <c r="D5598" s="3" t="str">
        <f t="shared" si="937"/>
        <v>12Go Link</v>
      </c>
      <c r="E5598" s="2" t="s">
        <v>5011</v>
      </c>
    </row>
    <row r="5599">
      <c r="A5599" s="2" t="s">
        <v>302</v>
      </c>
      <c r="B5599" s="2" t="s">
        <v>5009</v>
      </c>
      <c r="C5599" s="2" t="s">
        <v>5191</v>
      </c>
      <c r="D5599" s="3" t="str">
        <f t="shared" si="937"/>
        <v>12Go Link</v>
      </c>
      <c r="E5599" s="2" t="s">
        <v>215</v>
      </c>
    </row>
    <row r="5600">
      <c r="A5600" s="2" t="s">
        <v>302</v>
      </c>
      <c r="B5600" s="2" t="s">
        <v>5009</v>
      </c>
      <c r="C5600" s="2" t="s">
        <v>5191</v>
      </c>
      <c r="D5600" s="3" t="str">
        <f t="shared" si="937"/>
        <v>12Go Link</v>
      </c>
      <c r="E5600" s="2" t="s">
        <v>4119</v>
      </c>
    </row>
    <row r="5601">
      <c r="A5601" s="2" t="s">
        <v>302</v>
      </c>
      <c r="B5601" s="2" t="s">
        <v>4146</v>
      </c>
      <c r="C5601" s="2" t="s">
        <v>5192</v>
      </c>
      <c r="D5601" s="3" t="str">
        <f t="shared" ref="D5601:D5603" si="938">HYPERLINK("https://12go.asia/en/travel/Pattaya-Transfer/Phimai", "12Go Link")</f>
        <v>12Go Link</v>
      </c>
      <c r="E5601" s="2" t="s">
        <v>4984</v>
      </c>
    </row>
    <row r="5602">
      <c r="A5602" s="2" t="s">
        <v>302</v>
      </c>
      <c r="B5602" s="2" t="s">
        <v>4146</v>
      </c>
      <c r="C5602" s="2" t="s">
        <v>5192</v>
      </c>
      <c r="D5602" s="3" t="str">
        <f t="shared" si="938"/>
        <v>12Go Link</v>
      </c>
      <c r="E5602" s="2" t="s">
        <v>4985</v>
      </c>
    </row>
    <row r="5603">
      <c r="A5603" s="2" t="s">
        <v>302</v>
      </c>
      <c r="B5603" s="2" t="s">
        <v>4146</v>
      </c>
      <c r="C5603" s="2" t="s">
        <v>5192</v>
      </c>
      <c r="D5603" s="3" t="str">
        <f t="shared" si="938"/>
        <v>12Go Link</v>
      </c>
      <c r="E5603" s="2" t="s">
        <v>4986</v>
      </c>
    </row>
    <row r="5604">
      <c r="A5604" s="2" t="s">
        <v>5041</v>
      </c>
      <c r="B5604" s="2" t="s">
        <v>4963</v>
      </c>
      <c r="C5604" s="2" t="s">
        <v>5193</v>
      </c>
      <c r="D5604" s="3" t="str">
        <f>HYPERLINK("https://12go.asia/en/travel/Opposite-Khokkloy-Bus-Terminal/Khao-Lak-Center", "12Go Link")</f>
        <v>12Go Link</v>
      </c>
      <c r="E5604" s="2" t="s">
        <v>4956</v>
      </c>
    </row>
    <row r="5605">
      <c r="A5605" s="2" t="s">
        <v>5041</v>
      </c>
      <c r="B5605" s="2" t="s">
        <v>4963</v>
      </c>
      <c r="C5605" s="2" t="s">
        <v>5194</v>
      </c>
      <c r="D5605" s="3" t="str">
        <f>HYPERLINK("https://12go.asia/en/travel/Takua-Pa-Bus-Terminal/Opposite-Khao-Lak-Center", "12Go Link")</f>
        <v>12Go Link</v>
      </c>
      <c r="E5605" s="2" t="s">
        <v>4956</v>
      </c>
    </row>
    <row r="5606">
      <c r="A5606" s="2" t="s">
        <v>5041</v>
      </c>
      <c r="B5606" s="2" t="s">
        <v>5041</v>
      </c>
      <c r="C5606" s="2" t="s">
        <v>5195</v>
      </c>
      <c r="D5606" s="3" t="str">
        <f>HYPERLINK("https://12go.asia/en/travel/Opposite-Khokkloy-Bus-Terminal/Takua-Pa-Bus-Terminal", "12Go Link")</f>
        <v>12Go Link</v>
      </c>
      <c r="E5606" s="2" t="s">
        <v>4956</v>
      </c>
    </row>
    <row r="5607">
      <c r="A5607" s="2" t="s">
        <v>5041</v>
      </c>
      <c r="B5607" s="2" t="s">
        <v>5041</v>
      </c>
      <c r="C5607" s="2" t="s">
        <v>5196</v>
      </c>
      <c r="D5607" s="3" t="str">
        <f>HYPERLINK("https://12go.asia/en/travel/Takua-Pa-Bus-Terminal/Khokkloy", "12Go Link")</f>
        <v>12Go Link</v>
      </c>
      <c r="E5607" s="2" t="s">
        <v>4956</v>
      </c>
    </row>
    <row r="5608">
      <c r="A5608" s="2" t="s">
        <v>5041</v>
      </c>
      <c r="B5608" s="2" t="s">
        <v>4228</v>
      </c>
      <c r="C5608" s="2" t="s">
        <v>5197</v>
      </c>
      <c r="D5608" s="3" t="str">
        <f>HYPERLINK("https://12go.asia/en/travel/Khokkloy/Phuket-Bus-Terminal-1", "12Go Link")</f>
        <v>12Go Link</v>
      </c>
      <c r="E5608" s="2" t="s">
        <v>4956</v>
      </c>
    </row>
    <row r="5609">
      <c r="A5609" s="2" t="s">
        <v>5041</v>
      </c>
      <c r="B5609" s="2" t="s">
        <v>4228</v>
      </c>
      <c r="C5609" s="2" t="s">
        <v>5198</v>
      </c>
      <c r="D5609" s="3" t="str">
        <f>HYPERLINK("https://12go.asia/en/travel/Takua-Pa-Bus-Terminal/Phuket-Bus-Terminal-1", "12Go Link")</f>
        <v>12Go Link</v>
      </c>
      <c r="E5609" s="2" t="s">
        <v>4956</v>
      </c>
    </row>
    <row r="5610">
      <c r="A5610" s="2" t="s">
        <v>4228</v>
      </c>
      <c r="B5610" s="2" t="s">
        <v>4927</v>
      </c>
      <c r="C5610" s="2" t="s">
        <v>5199</v>
      </c>
      <c r="D5610" s="3" t="str">
        <f>HYPERLINK("https://12go.asia/en/travel/Phuket-Bus-Terminal-2/Ao-Nang-Transfer", "12Go Link")</f>
        <v>12Go Link</v>
      </c>
      <c r="E5610" s="2" t="s">
        <v>5018</v>
      </c>
    </row>
    <row r="5611">
      <c r="A5611" s="2" t="s">
        <v>4228</v>
      </c>
      <c r="B5611" s="2" t="s">
        <v>3850</v>
      </c>
      <c r="C5611" s="2" t="s">
        <v>5200</v>
      </c>
      <c r="D5611" s="3" t="str">
        <f>HYPERLINK("https://12go.asia/en/travel/Phuket-Airport/Don-Mueang-International-Airport", "12Go Link")</f>
        <v>12Go Link</v>
      </c>
      <c r="E5611" s="2" t="s">
        <v>4958</v>
      </c>
    </row>
    <row r="5612">
      <c r="A5612" s="2" t="s">
        <v>4228</v>
      </c>
      <c r="B5612" s="2" t="s">
        <v>3850</v>
      </c>
      <c r="C5612" s="2" t="s">
        <v>5201</v>
      </c>
      <c r="D5612" s="3" t="str">
        <f>HYPERLINK("https://12go.asia/en/travel/Phuket-Transfer/Bangkok-Transfer", "12Go Link")</f>
        <v>12Go Link</v>
      </c>
      <c r="E5612" s="2" t="s">
        <v>5036</v>
      </c>
    </row>
    <row r="5613">
      <c r="A5613" s="2" t="s">
        <v>4228</v>
      </c>
      <c r="B5613" s="2" t="s">
        <v>5202</v>
      </c>
      <c r="C5613" s="2" t="s">
        <v>5203</v>
      </c>
      <c r="D5613" s="3" t="str">
        <f>HYPERLINK("https://12go.asia/en/travel/Phuket-International-Airport/Chalong-Hotel-Transfer", "12Go Link")</f>
        <v>12Go Link</v>
      </c>
      <c r="E5613" s="2" t="s">
        <v>5036</v>
      </c>
    </row>
    <row r="5614">
      <c r="A5614" s="2" t="s">
        <v>4228</v>
      </c>
      <c r="B5614" s="2" t="s">
        <v>5034</v>
      </c>
      <c r="C5614" s="2" t="s">
        <v>5204</v>
      </c>
      <c r="D5614" s="3" t="str">
        <f>HYPERLINK("https://12go.asia/en/travel/Phuket-Transfer/Chumphon-Hotel-Transfer", "12Go Link")</f>
        <v>12Go Link</v>
      </c>
      <c r="E5614" s="2" t="s">
        <v>5036</v>
      </c>
    </row>
    <row r="5615">
      <c r="A5615" s="2" t="s">
        <v>4228</v>
      </c>
      <c r="B5615" s="2" t="s">
        <v>5009</v>
      </c>
      <c r="C5615" s="2" t="s">
        <v>5205</v>
      </c>
      <c r="D5615" s="3" t="str">
        <f>HYPERLINK("https://12go.asia/en/travel/Phuket-Transfer/Donsak-Pier-except-Ferry-to-Samui", "12Go Link")</f>
        <v>12Go Link</v>
      </c>
      <c r="E5615" s="2" t="s">
        <v>5036</v>
      </c>
    </row>
    <row r="5616">
      <c r="A5616" s="2" t="s">
        <v>4228</v>
      </c>
      <c r="B5616" s="2" t="s">
        <v>4204</v>
      </c>
      <c r="C5616" s="2" t="s">
        <v>5206</v>
      </c>
      <c r="D5616" s="3" t="str">
        <f>HYPERLINK("https://12go.asia/en/travel/Phuket-Transfer/Hat-Yai-Hotel-Transfer", "12Go Link")</f>
        <v>12Go Link</v>
      </c>
      <c r="E5616" s="2" t="s">
        <v>5036</v>
      </c>
    </row>
    <row r="5617">
      <c r="A5617" s="2" t="s">
        <v>4228</v>
      </c>
      <c r="B5617" s="2" t="s">
        <v>5207</v>
      </c>
      <c r="C5617" s="2" t="s">
        <v>5208</v>
      </c>
      <c r="D5617" s="3" t="str">
        <f>HYPERLINK("https://12go.asia/en/travel/Phuket-International-Airport/Karon-Beach", "12Go Link")</f>
        <v>12Go Link</v>
      </c>
      <c r="E5617" s="2" t="s">
        <v>5036</v>
      </c>
    </row>
    <row r="5618">
      <c r="A5618" s="2" t="s">
        <v>4228</v>
      </c>
      <c r="B5618" s="2" t="s">
        <v>4963</v>
      </c>
      <c r="C5618" s="2" t="s">
        <v>5209</v>
      </c>
      <c r="D5618" s="3" t="str">
        <f>HYPERLINK("https://12go.asia/en/travel/Phuket-Bus-Terminal-1/Khao-Lak-Center", "12Go Link")</f>
        <v>12Go Link</v>
      </c>
      <c r="E5618" s="2" t="s">
        <v>4956</v>
      </c>
    </row>
    <row r="5619">
      <c r="A5619" s="2" t="s">
        <v>4228</v>
      </c>
      <c r="B5619" s="2" t="s">
        <v>4963</v>
      </c>
      <c r="C5619" s="2" t="s">
        <v>5210</v>
      </c>
      <c r="D5619" s="3" t="str">
        <f>HYPERLINK("https://12go.asia/en/travel/Phuket-Hotel-Transfer/Khaolak-except-Bang-Sak-Bang-Muang-and-Takua-Pa", "12Go Link")</f>
        <v>12Go Link</v>
      </c>
      <c r="E5619" s="2" t="s">
        <v>5036</v>
      </c>
    </row>
    <row r="5620">
      <c r="A5620" s="2" t="s">
        <v>4228</v>
      </c>
      <c r="B5620" s="2" t="s">
        <v>4963</v>
      </c>
      <c r="C5620" s="2" t="s">
        <v>5211</v>
      </c>
      <c r="D5620" s="3" t="str">
        <f>HYPERLINK("https://12go.asia/en/travel/Phuket-Hotel-Transfer/Khaolak-with-Bang-Sak-Bang-Muang-and-Takua-Pa", "12Go Link")</f>
        <v>12Go Link</v>
      </c>
      <c r="E5620" s="2" t="s">
        <v>5036</v>
      </c>
    </row>
    <row r="5621">
      <c r="A5621" s="2" t="s">
        <v>4228</v>
      </c>
      <c r="B5621" s="2" t="s">
        <v>4963</v>
      </c>
      <c r="C5621" s="2" t="s">
        <v>5212</v>
      </c>
      <c r="D5621" s="3" t="str">
        <f>HYPERLINK("https://12go.asia/en/travel/Phuket-International-Airport/Khaolak-except-Bang-Sak-Bang-Muang-and-Takua-Pa", "12Go Link")</f>
        <v>12Go Link</v>
      </c>
      <c r="E5621" s="2" t="s">
        <v>5036</v>
      </c>
    </row>
    <row r="5622">
      <c r="A5622" s="2" t="s">
        <v>4228</v>
      </c>
      <c r="B5622" s="2" t="s">
        <v>4963</v>
      </c>
      <c r="C5622" s="2" t="s">
        <v>5213</v>
      </c>
      <c r="D5622" s="3" t="str">
        <f>HYPERLINK("https://12go.asia/en/travel/Phuket-Sanooker-Bus-Terminal-1/Khao-Lak-Nang-Thong-Center", "12Go Link")</f>
        <v>12Go Link</v>
      </c>
      <c r="E5622" s="2" t="s">
        <v>4956</v>
      </c>
    </row>
    <row r="5623">
      <c r="A5623" s="2" t="s">
        <v>4228</v>
      </c>
      <c r="B5623" s="2" t="s">
        <v>4963</v>
      </c>
      <c r="C5623" s="2" t="s">
        <v>5214</v>
      </c>
      <c r="D5623" s="3" t="str">
        <f>HYPERLINK("https://12go.asia/en/travel/Samyak-Phuket-Airport/Khao-Lak-Nang-Thong-Center", "12Go Link")</f>
        <v>12Go Link</v>
      </c>
      <c r="E5623" s="2" t="s">
        <v>4956</v>
      </c>
    </row>
    <row r="5624">
      <c r="A5624" s="2" t="s">
        <v>4228</v>
      </c>
      <c r="B5624" s="2" t="s">
        <v>4928</v>
      </c>
      <c r="C5624" s="2" t="s">
        <v>5215</v>
      </c>
      <c r="D5624" s="3" t="str">
        <f>HYPERLINK("https://12go.asia/en/travel/Phuket-Sanooker-Bus-Terminal-1/Khao-Sok", "12Go Link")</f>
        <v>12Go Link</v>
      </c>
      <c r="E5624" s="2" t="s">
        <v>4956</v>
      </c>
    </row>
    <row r="5625">
      <c r="A5625" s="2" t="s">
        <v>4228</v>
      </c>
      <c r="B5625" s="2" t="s">
        <v>4928</v>
      </c>
      <c r="C5625" s="2" t="s">
        <v>5216</v>
      </c>
      <c r="D5625" s="3" t="str">
        <f>HYPERLINK("https://12go.asia/en/travel/Phuket-Sanooker-Bus-Terminal-1/Khao-Sok-Transfer", "12Go Link")</f>
        <v>12Go Link</v>
      </c>
      <c r="E5625" s="2" t="s">
        <v>5217</v>
      </c>
    </row>
    <row r="5626">
      <c r="A5626" s="2" t="s">
        <v>4228</v>
      </c>
      <c r="B5626" s="2" t="s">
        <v>4928</v>
      </c>
      <c r="C5626" s="2" t="s">
        <v>5218</v>
      </c>
      <c r="D5626" s="3" t="str">
        <f>HYPERLINK("https://12go.asia/en/travel/Phuket-Transfer/Khao-Sok-Hotel-Transfer", "12Go Link")</f>
        <v>12Go Link</v>
      </c>
      <c r="E5626" s="2" t="s">
        <v>5036</v>
      </c>
    </row>
    <row r="5627">
      <c r="A5627" s="2" t="s">
        <v>4228</v>
      </c>
      <c r="B5627" s="2" t="s">
        <v>4928</v>
      </c>
      <c r="C5627" s="2" t="s">
        <v>5219</v>
      </c>
      <c r="D5627" s="3" t="str">
        <f>HYPERLINK("https://12go.asia/en/travel/Samyak-Phuket-Airport/Khao-Sok", "12Go Link")</f>
        <v>12Go Link</v>
      </c>
      <c r="E5627" s="2" t="s">
        <v>4956</v>
      </c>
    </row>
    <row r="5628">
      <c r="A5628" s="2" t="s">
        <v>4228</v>
      </c>
      <c r="B5628" s="2" t="s">
        <v>4928</v>
      </c>
      <c r="C5628" s="2" t="s">
        <v>5220</v>
      </c>
      <c r="D5628" s="3" t="str">
        <f>HYPERLINK("https://12go.asia/en/travel/Samyak-Phuket-Airport/Khao-Sok-Transfer", "12Go Link")</f>
        <v>12Go Link</v>
      </c>
      <c r="E5628" s="2" t="s">
        <v>5217</v>
      </c>
    </row>
    <row r="5629">
      <c r="A5629" s="2" t="s">
        <v>4228</v>
      </c>
      <c r="B5629" s="2" t="s">
        <v>4931</v>
      </c>
      <c r="C5629" s="2" t="s">
        <v>5221</v>
      </c>
      <c r="D5629" s="3" t="str">
        <f>HYPERLINK("https://12go.asia/en/travel/Phuket-Transfer/Koh-Lanta-Hotel-Transfer", "12Go Link")</f>
        <v>12Go Link</v>
      </c>
      <c r="E5629" s="2" t="s">
        <v>5036</v>
      </c>
    </row>
    <row r="5630">
      <c r="A5630" s="2" t="s">
        <v>4228</v>
      </c>
      <c r="B5630" s="2" t="s">
        <v>4939</v>
      </c>
      <c r="C5630" s="2" t="s">
        <v>5222</v>
      </c>
      <c r="D5630" s="3" t="str">
        <f>HYPERLINK("https://12go.asia/en/travel/Phuket-Airport/Ton-Sai-Pier-Koh-Phi-Phi", "12Go Link")</f>
        <v>12Go Link</v>
      </c>
      <c r="E5630" s="2" t="s">
        <v>5136</v>
      </c>
    </row>
    <row r="5631">
      <c r="A5631" s="2" t="s">
        <v>4228</v>
      </c>
      <c r="B5631" s="2" t="s">
        <v>4224</v>
      </c>
      <c r="C5631" s="2" t="s">
        <v>5223</v>
      </c>
      <c r="D5631" s="3" t="str">
        <f>HYPERLINK("https://12go.asia/en/travel/Phuket-Airport/Pimalai-Jetty", "12Go Link")</f>
        <v>12Go Link</v>
      </c>
      <c r="E5631" s="2" t="s">
        <v>215</v>
      </c>
    </row>
    <row r="5632">
      <c r="A5632" s="2" t="s">
        <v>4228</v>
      </c>
      <c r="B5632" s="2" t="s">
        <v>4224</v>
      </c>
      <c r="C5632" s="2" t="s">
        <v>5224</v>
      </c>
      <c r="D5632" s="3" t="str">
        <f>HYPERLINK("https://12go.asia/en/travel/Phuket-Hotel-Transfer/Krabi-Hotel-Transfer", "12Go Link")</f>
        <v>12Go Link</v>
      </c>
      <c r="E5632" s="2" t="s">
        <v>5036</v>
      </c>
    </row>
    <row r="5633">
      <c r="A5633" s="2" t="s">
        <v>4228</v>
      </c>
      <c r="B5633" s="2" t="s">
        <v>4224</v>
      </c>
      <c r="C5633" s="2" t="s">
        <v>5225</v>
      </c>
      <c r="D5633" s="3" t="str">
        <f>HYPERLINK("https://12go.asia/en/travel/Phuket-International-Airport/Krabi-Hotel-Transfer", "12Go Link")</f>
        <v>12Go Link</v>
      </c>
      <c r="E5633" s="2" t="s">
        <v>5036</v>
      </c>
    </row>
    <row r="5634">
      <c r="A5634" s="2" t="s">
        <v>4228</v>
      </c>
      <c r="B5634" s="2" t="s">
        <v>4224</v>
      </c>
      <c r="C5634" s="2" t="s">
        <v>5226</v>
      </c>
      <c r="D5634" s="3" t="str">
        <f>HYPERLINK("https://12go.asia/en/travel/Phuket-Town-Transfer/Krabi-Hotel-Transfer", "12Go Link")</f>
        <v>12Go Link</v>
      </c>
      <c r="E5634" s="2" t="s">
        <v>5227</v>
      </c>
    </row>
    <row r="5635">
      <c r="A5635" s="2" t="s">
        <v>4228</v>
      </c>
      <c r="B5635" s="2" t="s">
        <v>5041</v>
      </c>
      <c r="C5635" s="2" t="s">
        <v>5228</v>
      </c>
      <c r="D5635" s="3" t="str">
        <f>HYPERLINK("https://12go.asia/en/travel/Phuket-Bus-Terminal-1/Opposite-Khokkloy-Bus-Terminal", "12Go Link")</f>
        <v>12Go Link</v>
      </c>
      <c r="E5635" s="2" t="s">
        <v>4956</v>
      </c>
    </row>
    <row r="5636">
      <c r="A5636" s="2" t="s">
        <v>4228</v>
      </c>
      <c r="B5636" s="2" t="s">
        <v>5041</v>
      </c>
      <c r="C5636" s="2" t="s">
        <v>5229</v>
      </c>
      <c r="D5636" s="3" t="str">
        <f>HYPERLINK("https://12go.asia/en/travel/Phuket-Bus-Terminal-1/Takua-Pa-Bus-Terminal", "12Go Link")</f>
        <v>12Go Link</v>
      </c>
      <c r="E5636" s="2" t="s">
        <v>4956</v>
      </c>
    </row>
    <row r="5637">
      <c r="A5637" s="2" t="s">
        <v>4228</v>
      </c>
      <c r="B5637" s="2" t="s">
        <v>5041</v>
      </c>
      <c r="C5637" s="2" t="s">
        <v>5230</v>
      </c>
      <c r="D5637" s="3" t="str">
        <f>HYPERLINK("https://12go.asia/en/travel/Phuket-Sanooker-Bus-Terminal-1/Takua-Pa-Bus-Terminal", "12Go Link")</f>
        <v>12Go Link</v>
      </c>
      <c r="E5637" s="2" t="s">
        <v>4956</v>
      </c>
    </row>
    <row r="5638">
      <c r="A5638" s="2" t="s">
        <v>4228</v>
      </c>
      <c r="B5638" s="2" t="s">
        <v>5041</v>
      </c>
      <c r="C5638" s="2" t="s">
        <v>5231</v>
      </c>
      <c r="D5638" s="3" t="str">
        <f>HYPERLINK("https://12go.asia/en/travel/Samyak-Phuket-Airport/Takua-Pa-Bus-Terminal", "12Go Link")</f>
        <v>12Go Link</v>
      </c>
      <c r="E5638" s="2" t="s">
        <v>4956</v>
      </c>
    </row>
    <row r="5639">
      <c r="A5639" s="2" t="s">
        <v>4228</v>
      </c>
      <c r="B5639" s="2" t="s">
        <v>4228</v>
      </c>
      <c r="C5639" s="2" t="s">
        <v>5232</v>
      </c>
      <c r="D5639" s="3" t="str">
        <f>HYPERLINK("https://12go.asia/en/travel/Phuket-International-Airport/Ao-Makham", "12Go Link")</f>
        <v>12Go Link</v>
      </c>
      <c r="E5639" s="2" t="s">
        <v>5036</v>
      </c>
    </row>
    <row r="5640">
      <c r="A5640" s="2" t="s">
        <v>4228</v>
      </c>
      <c r="B5640" s="2" t="s">
        <v>4228</v>
      </c>
      <c r="C5640" s="2" t="s">
        <v>5233</v>
      </c>
      <c r="D5640" s="3" t="str">
        <f>HYPERLINK("https://12go.asia/en/travel/Phuket-International-Airport/Ao-Por", "12Go Link")</f>
        <v>12Go Link</v>
      </c>
      <c r="E5640" s="2" t="s">
        <v>5036</v>
      </c>
    </row>
    <row r="5641">
      <c r="A5641" s="2" t="s">
        <v>4228</v>
      </c>
      <c r="B5641" s="2" t="s">
        <v>4228</v>
      </c>
      <c r="C5641" s="2" t="s">
        <v>5234</v>
      </c>
      <c r="D5641" s="3" t="str">
        <f>HYPERLINK("https://12go.asia/en/travel/Phuket-International-Airport/Bang-Tao-Beach", "12Go Link")</f>
        <v>12Go Link</v>
      </c>
      <c r="E5641" s="2" t="s">
        <v>5036</v>
      </c>
    </row>
    <row r="5642">
      <c r="A5642" s="2" t="s">
        <v>4228</v>
      </c>
      <c r="B5642" s="2" t="s">
        <v>4228</v>
      </c>
      <c r="C5642" s="2" t="s">
        <v>5235</v>
      </c>
      <c r="D5642" s="3" t="str">
        <f>HYPERLINK("https://12go.asia/en/travel/Phuket-International-Airport/Boat-Lagoon-Pier-Phuket", "12Go Link")</f>
        <v>12Go Link</v>
      </c>
      <c r="E5642" s="2" t="s">
        <v>5036</v>
      </c>
    </row>
    <row r="5643">
      <c r="A5643" s="2" t="s">
        <v>4228</v>
      </c>
      <c r="B5643" s="2" t="s">
        <v>4228</v>
      </c>
      <c r="C5643" s="2" t="s">
        <v>5236</v>
      </c>
      <c r="D5643" s="3" t="str">
        <f>HYPERLINK("https://12go.asia/en/travel/Phuket-International-Airport/Kamala", "12Go Link")</f>
        <v>12Go Link</v>
      </c>
      <c r="E5643" s="2" t="s">
        <v>5036</v>
      </c>
    </row>
    <row r="5644">
      <c r="A5644" s="2" t="s">
        <v>4228</v>
      </c>
      <c r="B5644" s="2" t="s">
        <v>4228</v>
      </c>
      <c r="C5644" s="2" t="s">
        <v>5237</v>
      </c>
      <c r="D5644" s="3" t="str">
        <f>HYPERLINK("https://12go.asia/en/travel/Phuket-International-Airport/Kata-Beach", "12Go Link")</f>
        <v>12Go Link</v>
      </c>
      <c r="E5644" s="2" t="s">
        <v>5036</v>
      </c>
    </row>
    <row r="5645">
      <c r="A5645" s="2" t="s">
        <v>4228</v>
      </c>
      <c r="B5645" s="2" t="s">
        <v>4228</v>
      </c>
      <c r="C5645" s="2" t="s">
        <v>5238</v>
      </c>
      <c r="D5645" s="3" t="str">
        <f>HYPERLINK("https://12go.asia/en/travel/Phuket-International-Airport/Koh-Siray", "12Go Link")</f>
        <v>12Go Link</v>
      </c>
      <c r="E5645" s="2" t="s">
        <v>5036</v>
      </c>
    </row>
    <row r="5646">
      <c r="A5646" s="2" t="s">
        <v>4228</v>
      </c>
      <c r="B5646" s="2" t="s">
        <v>4228</v>
      </c>
      <c r="C5646" s="2" t="s">
        <v>5239</v>
      </c>
      <c r="D5646" s="3" t="str">
        <f>HYPERLINK("https://12go.asia/en/travel/Phuket-International-Airport/Laguna-Phuket", "12Go Link")</f>
        <v>12Go Link</v>
      </c>
      <c r="E5646" s="2" t="s">
        <v>5036</v>
      </c>
    </row>
    <row r="5647">
      <c r="A5647" s="2" t="s">
        <v>4228</v>
      </c>
      <c r="B5647" s="2" t="s">
        <v>4228</v>
      </c>
      <c r="C5647" s="2" t="s">
        <v>5240</v>
      </c>
      <c r="D5647" s="3" t="str">
        <f>HYPERLINK("https://12go.asia/en/travel/Phuket-International-Airport/Layan-Beach", "12Go Link")</f>
        <v>12Go Link</v>
      </c>
      <c r="E5647" s="2" t="s">
        <v>5036</v>
      </c>
    </row>
    <row r="5648">
      <c r="A5648" s="2" t="s">
        <v>4228</v>
      </c>
      <c r="B5648" s="2" t="s">
        <v>4228</v>
      </c>
      <c r="C5648" s="2" t="s">
        <v>5241</v>
      </c>
      <c r="D5648" s="3" t="str">
        <f>HYPERLINK("https://12go.asia/en/travel/Phuket-International-Airport/Mai-Khao", "12Go Link")</f>
        <v>12Go Link</v>
      </c>
      <c r="E5648" s="2" t="s">
        <v>5036</v>
      </c>
    </row>
    <row r="5649">
      <c r="A5649" s="2" t="s">
        <v>4228</v>
      </c>
      <c r="B5649" s="2" t="s">
        <v>4228</v>
      </c>
      <c r="C5649" s="2" t="s">
        <v>5242</v>
      </c>
      <c r="D5649" s="3" t="str">
        <f>HYPERLINK("https://12go.asia/en/travel/Phuket-International-Airport/Nai-Harn-Beach-Phuket", "12Go Link")</f>
        <v>12Go Link</v>
      </c>
      <c r="E5649" s="2" t="s">
        <v>5036</v>
      </c>
    </row>
    <row r="5650">
      <c r="A5650" s="2" t="s">
        <v>4228</v>
      </c>
      <c r="B5650" s="2" t="s">
        <v>4228</v>
      </c>
      <c r="C5650" s="2" t="s">
        <v>5243</v>
      </c>
      <c r="D5650" s="3" t="str">
        <f>HYPERLINK("https://12go.asia/en/travel/Phuket-International-Airport/Naithon-Beach", "12Go Link")</f>
        <v>12Go Link</v>
      </c>
      <c r="E5650" s="2" t="s">
        <v>5036</v>
      </c>
    </row>
    <row r="5651">
      <c r="A5651" s="2" t="s">
        <v>4228</v>
      </c>
      <c r="B5651" s="2" t="s">
        <v>4228</v>
      </c>
      <c r="C5651" s="2" t="s">
        <v>5244</v>
      </c>
      <c r="D5651" s="3" t="str">
        <f>HYPERLINK("https://12go.asia/en/travel/Phuket-International-Airport/Naiyang-Beach-Hotel-Transfer", "12Go Link")</f>
        <v>12Go Link</v>
      </c>
      <c r="E5651" s="2" t="s">
        <v>5036</v>
      </c>
    </row>
    <row r="5652">
      <c r="A5652" s="2" t="s">
        <v>4228</v>
      </c>
      <c r="B5652" s="2" t="s">
        <v>4228</v>
      </c>
      <c r="C5652" s="2" t="s">
        <v>5245</v>
      </c>
      <c r="D5652" s="3" t="str">
        <f>HYPERLINK("https://12go.asia/en/travel/Phuket-International-Airport/Panwa-Cape-Phuket", "12Go Link")</f>
        <v>12Go Link</v>
      </c>
      <c r="E5652" s="2" t="s">
        <v>5036</v>
      </c>
    </row>
    <row r="5653">
      <c r="A5653" s="2" t="s">
        <v>4228</v>
      </c>
      <c r="B5653" s="2" t="s">
        <v>4228</v>
      </c>
      <c r="C5653" s="2" t="s">
        <v>5246</v>
      </c>
      <c r="D5653" s="3" t="str">
        <f>HYPERLINK("https://12go.asia/en/travel/Phuket-International-Airport/Patong-Beach-Phuket", "12Go Link")</f>
        <v>12Go Link</v>
      </c>
      <c r="E5653" s="2" t="s">
        <v>5036</v>
      </c>
    </row>
    <row r="5654">
      <c r="A5654" s="2" t="s">
        <v>4228</v>
      </c>
      <c r="B5654" s="2" t="s">
        <v>4228</v>
      </c>
      <c r="C5654" s="2" t="s">
        <v>5247</v>
      </c>
      <c r="D5654" s="3" t="str">
        <f>HYPERLINK("https://12go.asia/en/travel/Phuket-International-Airport/Phuket-Town-Transfer", "12Go Link")</f>
        <v>12Go Link</v>
      </c>
      <c r="E5654" s="2" t="s">
        <v>5036</v>
      </c>
    </row>
    <row r="5655">
      <c r="A5655" s="2" t="s">
        <v>4228</v>
      </c>
      <c r="B5655" s="2" t="s">
        <v>4228</v>
      </c>
      <c r="C5655" s="2" t="s">
        <v>5248</v>
      </c>
      <c r="D5655" s="3" t="str">
        <f>HYPERLINK("https://12go.asia/en/travel/Phuket-International-Airport/Promthep-Cape", "12Go Link")</f>
        <v>12Go Link</v>
      </c>
      <c r="E5655" s="2" t="s">
        <v>5036</v>
      </c>
    </row>
    <row r="5656">
      <c r="A5656" s="2" t="s">
        <v>4228</v>
      </c>
      <c r="B5656" s="2" t="s">
        <v>4228</v>
      </c>
      <c r="C5656" s="2" t="s">
        <v>5249</v>
      </c>
      <c r="D5656" s="3" t="str">
        <f>HYPERLINK("https://12go.asia/en/travel/Phuket-International-Airport/Rawai-Beach-Phuket", "12Go Link")</f>
        <v>12Go Link</v>
      </c>
      <c r="E5656" s="2" t="s">
        <v>5036</v>
      </c>
    </row>
    <row r="5657">
      <c r="A5657" s="2" t="s">
        <v>4228</v>
      </c>
      <c r="B5657" s="2" t="s">
        <v>4228</v>
      </c>
      <c r="C5657" s="2" t="s">
        <v>5250</v>
      </c>
      <c r="D5657" s="3" t="str">
        <f>HYPERLINK("https://12go.asia/en/travel/Phuket-International-Airport/Surin-Beach", "12Go Link")</f>
        <v>12Go Link</v>
      </c>
      <c r="E5657" s="2" t="s">
        <v>5036</v>
      </c>
    </row>
    <row r="5658">
      <c r="A5658" s="2" t="s">
        <v>4228</v>
      </c>
      <c r="B5658" s="2" t="s">
        <v>5025</v>
      </c>
      <c r="C5658" s="2" t="s">
        <v>5251</v>
      </c>
      <c r="D5658" s="3" t="str">
        <f>HYPERLINK("https://12go.asia/en/travel/Phuket-Transfer/Ranong-Hotel-Transfer", "12Go Link")</f>
        <v>12Go Link</v>
      </c>
      <c r="E5658" s="2" t="s">
        <v>5036</v>
      </c>
    </row>
    <row r="5659">
      <c r="A5659" s="2" t="s">
        <v>4228</v>
      </c>
      <c r="B5659" s="2" t="s">
        <v>5252</v>
      </c>
      <c r="C5659" s="2" t="s">
        <v>5253</v>
      </c>
      <c r="D5659" s="3" t="str">
        <f>HYPERLINK("https://12go.asia/en/travel/Patong-Transfer/Pak-Bara-Pier", "12Go Link")</f>
        <v>12Go Link</v>
      </c>
      <c r="E5659" s="2" t="s">
        <v>4119</v>
      </c>
    </row>
    <row r="5660">
      <c r="A5660" s="2" t="s">
        <v>4228</v>
      </c>
      <c r="B5660" s="2" t="s">
        <v>5252</v>
      </c>
      <c r="C5660" s="2" t="s">
        <v>5254</v>
      </c>
      <c r="D5660" s="3" t="str">
        <f>HYPERLINK("https://12go.asia/en/travel/Phuket-Transfer/Satun-Hotel-Transfer", "12Go Link")</f>
        <v>12Go Link</v>
      </c>
      <c r="E5660" s="2" t="s">
        <v>5036</v>
      </c>
    </row>
    <row r="5661">
      <c r="A5661" s="2" t="s">
        <v>4228</v>
      </c>
      <c r="B5661" s="2" t="s">
        <v>5027</v>
      </c>
      <c r="C5661" s="2" t="s">
        <v>5255</v>
      </c>
      <c r="D5661" s="3" t="str">
        <f>HYPERLINK("https://12go.asia/en/travel/Phuket-Transfer/Surat-Thani", "12Go Link")</f>
        <v>12Go Link</v>
      </c>
      <c r="E5661" s="2" t="s">
        <v>5036</v>
      </c>
    </row>
    <row r="5662">
      <c r="A5662" s="2" t="s">
        <v>4228</v>
      </c>
      <c r="B5662" s="2" t="s">
        <v>4232</v>
      </c>
      <c r="C5662" s="2" t="s">
        <v>5256</v>
      </c>
      <c r="D5662" s="3" t="str">
        <f>HYPERLINK("https://12go.asia/en/travel/Phuket-Transfer/Trang-with-Pakmeng-and-Sikhao", "12Go Link")</f>
        <v>12Go Link</v>
      </c>
      <c r="E5662" s="2" t="s">
        <v>5036</v>
      </c>
    </row>
    <row r="5663">
      <c r="A5663" s="2" t="s">
        <v>5032</v>
      </c>
      <c r="B5663" s="2" t="s">
        <v>5031</v>
      </c>
      <c r="C5663" s="2" t="s">
        <v>5257</v>
      </c>
      <c r="D5663" s="3" t="str">
        <f t="shared" ref="D5663:D5665" si="939">HYPERLINK("https://12go.asia/en/travel/Sam-Roi-Yot/Kanchanaburi-Hotel-Transfer", "12Go Link")</f>
        <v>12Go Link</v>
      </c>
      <c r="E5663" s="2" t="s">
        <v>4968</v>
      </c>
    </row>
    <row r="5664">
      <c r="A5664" s="2" t="s">
        <v>5032</v>
      </c>
      <c r="B5664" s="2" t="s">
        <v>5031</v>
      </c>
      <c r="C5664" s="2" t="s">
        <v>5257</v>
      </c>
      <c r="D5664" s="3" t="str">
        <f t="shared" si="939"/>
        <v>12Go Link</v>
      </c>
      <c r="E5664" s="2" t="s">
        <v>4985</v>
      </c>
    </row>
    <row r="5665">
      <c r="A5665" s="2" t="s">
        <v>5032</v>
      </c>
      <c r="B5665" s="2" t="s">
        <v>5031</v>
      </c>
      <c r="C5665" s="2" t="s">
        <v>5257</v>
      </c>
      <c r="D5665" s="3" t="str">
        <f t="shared" si="939"/>
        <v>12Go Link</v>
      </c>
      <c r="E5665" s="2" t="s">
        <v>4986</v>
      </c>
    </row>
    <row r="5666">
      <c r="A5666" s="2" t="s">
        <v>5062</v>
      </c>
      <c r="B5666" s="2" t="s">
        <v>4939</v>
      </c>
      <c r="C5666" s="2" t="s">
        <v>5258</v>
      </c>
      <c r="D5666" s="3" t="str">
        <f>HYPERLINK("https://12go.asia/en/travel/Floating-Pier-East-Railay/Ton-Sai-Pier-Koh-Phi-Phi", "12Go Link")</f>
        <v>12Go Link</v>
      </c>
      <c r="E5666" s="2" t="s">
        <v>234</v>
      </c>
    </row>
    <row r="5667">
      <c r="A5667" s="2" t="s">
        <v>3506</v>
      </c>
      <c r="B5667" s="2" t="s">
        <v>4132</v>
      </c>
      <c r="C5667" s="2" t="s">
        <v>5259</v>
      </c>
      <c r="D5667" s="3" t="str">
        <f>HYPERLINK("https://12go.asia/en/travel/rangsit/thanaleng", "12Go Link")</f>
        <v>12Go Link</v>
      </c>
      <c r="E5667" s="2" t="s">
        <v>25</v>
      </c>
    </row>
    <row r="5668">
      <c r="A5668" s="2" t="s">
        <v>5025</v>
      </c>
      <c r="B5668" s="2" t="s">
        <v>5027</v>
      </c>
      <c r="C5668" s="2" t="s">
        <v>5260</v>
      </c>
      <c r="D5668" s="3" t="str">
        <f t="shared" ref="D5668:D5671" si="940">HYPERLINK("https://12go.asia/en/travel/Ranong-Town-Transfer/Surat-Thani-Airport", "12Go Link")</f>
        <v>12Go Link</v>
      </c>
      <c r="E5668" s="2" t="s">
        <v>4968</v>
      </c>
    </row>
    <row r="5669">
      <c r="A5669" s="2" t="s">
        <v>5025</v>
      </c>
      <c r="B5669" s="2" t="s">
        <v>5027</v>
      </c>
      <c r="C5669" s="2" t="s">
        <v>5260</v>
      </c>
      <c r="D5669" s="3" t="str">
        <f t="shared" si="940"/>
        <v>12Go Link</v>
      </c>
      <c r="E5669" s="2" t="s">
        <v>5011</v>
      </c>
    </row>
    <row r="5670">
      <c r="A5670" s="2" t="s">
        <v>5025</v>
      </c>
      <c r="B5670" s="2" t="s">
        <v>5027</v>
      </c>
      <c r="C5670" s="2" t="s">
        <v>5260</v>
      </c>
      <c r="D5670" s="3" t="str">
        <f t="shared" si="940"/>
        <v>12Go Link</v>
      </c>
      <c r="E5670" s="2" t="s">
        <v>215</v>
      </c>
    </row>
    <row r="5671">
      <c r="A5671" s="2" t="s">
        <v>5025</v>
      </c>
      <c r="B5671" s="2" t="s">
        <v>5027</v>
      </c>
      <c r="C5671" s="2" t="s">
        <v>5260</v>
      </c>
      <c r="D5671" s="3" t="str">
        <f t="shared" si="940"/>
        <v>12Go Link</v>
      </c>
      <c r="E5671" s="2" t="s">
        <v>4119</v>
      </c>
    </row>
    <row r="5672">
      <c r="A5672" s="2" t="s">
        <v>5025</v>
      </c>
      <c r="B5672" s="2" t="s">
        <v>5027</v>
      </c>
      <c r="C5672" s="2" t="s">
        <v>5261</v>
      </c>
      <c r="D5672" s="3" t="str">
        <f t="shared" ref="D5672:D5675" si="941">HYPERLINK("https://12go.asia/en/travel/Ranong-Town-Transfer/Surat-Thani-Town-Transfer", "12Go Link")</f>
        <v>12Go Link</v>
      </c>
      <c r="E5672" s="2" t="s">
        <v>4968</v>
      </c>
    </row>
    <row r="5673">
      <c r="A5673" s="2" t="s">
        <v>5025</v>
      </c>
      <c r="B5673" s="2" t="s">
        <v>5027</v>
      </c>
      <c r="C5673" s="2" t="s">
        <v>5261</v>
      </c>
      <c r="D5673" s="3" t="str">
        <f t="shared" si="941"/>
        <v>12Go Link</v>
      </c>
      <c r="E5673" s="2" t="s">
        <v>5011</v>
      </c>
    </row>
    <row r="5674">
      <c r="A5674" s="2" t="s">
        <v>5025</v>
      </c>
      <c r="B5674" s="2" t="s">
        <v>5027</v>
      </c>
      <c r="C5674" s="2" t="s">
        <v>5261</v>
      </c>
      <c r="D5674" s="3" t="str">
        <f t="shared" si="941"/>
        <v>12Go Link</v>
      </c>
      <c r="E5674" s="2" t="s">
        <v>215</v>
      </c>
    </row>
    <row r="5675">
      <c r="A5675" s="2" t="s">
        <v>5025</v>
      </c>
      <c r="B5675" s="2" t="s">
        <v>5027</v>
      </c>
      <c r="C5675" s="2" t="s">
        <v>5261</v>
      </c>
      <c r="D5675" s="3" t="str">
        <f t="shared" si="941"/>
        <v>12Go Link</v>
      </c>
      <c r="E5675" s="2" t="s">
        <v>4119</v>
      </c>
    </row>
    <row r="5676">
      <c r="A5676" s="2" t="s">
        <v>5176</v>
      </c>
      <c r="B5676" s="2" t="s">
        <v>4224</v>
      </c>
      <c r="C5676" s="2" t="s">
        <v>5262</v>
      </c>
      <c r="D5676" s="3" t="str">
        <f>HYPERLINK("https://12go.asia/en/travel/rassada-pier/klong-jilad-pier-krabi", "12Go Link")</f>
        <v>12Go Link</v>
      </c>
      <c r="E5676" s="2" t="s">
        <v>3897</v>
      </c>
    </row>
    <row r="5677">
      <c r="A5677" s="2" t="s">
        <v>4992</v>
      </c>
      <c r="B5677" s="2" t="s">
        <v>3850</v>
      </c>
      <c r="C5677" s="2" t="s">
        <v>5263</v>
      </c>
      <c r="D5677" s="3" t="str">
        <f>HYPERLINK("https://12go.asia/en/travel/Utapao-Airport/Don-Mueang-International-Airport", "12Go Link")</f>
        <v>12Go Link</v>
      </c>
      <c r="E5677" s="2" t="s">
        <v>4958</v>
      </c>
    </row>
    <row r="5678">
      <c r="A5678" s="2" t="s">
        <v>5252</v>
      </c>
      <c r="B5678" s="2" t="s">
        <v>5027</v>
      </c>
      <c r="C5678" s="2" t="s">
        <v>5264</v>
      </c>
      <c r="D5678" s="3" t="str">
        <f t="shared" ref="D5678:D5681" si="942">HYPERLINK("https://12go.asia/en/travel/Pak-Bara-Pier/Surat-Thani-Airport", "12Go Link")</f>
        <v>12Go Link</v>
      </c>
      <c r="E5678" s="2" t="s">
        <v>4968</v>
      </c>
    </row>
    <row r="5679">
      <c r="A5679" s="2" t="s">
        <v>5252</v>
      </c>
      <c r="B5679" s="2" t="s">
        <v>5027</v>
      </c>
      <c r="C5679" s="2" t="s">
        <v>5264</v>
      </c>
      <c r="D5679" s="3" t="str">
        <f t="shared" si="942"/>
        <v>12Go Link</v>
      </c>
      <c r="E5679" s="2" t="s">
        <v>5011</v>
      </c>
    </row>
    <row r="5680">
      <c r="A5680" s="2" t="s">
        <v>5252</v>
      </c>
      <c r="B5680" s="2" t="s">
        <v>5027</v>
      </c>
      <c r="C5680" s="2" t="s">
        <v>5264</v>
      </c>
      <c r="D5680" s="3" t="str">
        <f t="shared" si="942"/>
        <v>12Go Link</v>
      </c>
      <c r="E5680" s="2" t="s">
        <v>215</v>
      </c>
    </row>
    <row r="5681">
      <c r="A5681" s="2" t="s">
        <v>5252</v>
      </c>
      <c r="B5681" s="2" t="s">
        <v>5027</v>
      </c>
      <c r="C5681" s="2" t="s">
        <v>5264</v>
      </c>
      <c r="D5681" s="3" t="str">
        <f t="shared" si="942"/>
        <v>12Go Link</v>
      </c>
      <c r="E5681" s="2" t="s">
        <v>4119</v>
      </c>
    </row>
    <row r="5682">
      <c r="A5682" s="2" t="s">
        <v>5252</v>
      </c>
      <c r="B5682" s="2" t="s">
        <v>5027</v>
      </c>
      <c r="C5682" s="2" t="s">
        <v>5265</v>
      </c>
      <c r="D5682" s="3" t="str">
        <f t="shared" ref="D5682:D5685" si="943">HYPERLINK("https://12go.asia/en/travel/Pak-Bara-Pier/Surat-Thani-Town-Transfer", "12Go Link")</f>
        <v>12Go Link</v>
      </c>
      <c r="E5682" s="2" t="s">
        <v>4968</v>
      </c>
    </row>
    <row r="5683">
      <c r="A5683" s="2" t="s">
        <v>5252</v>
      </c>
      <c r="B5683" s="2" t="s">
        <v>5027</v>
      </c>
      <c r="C5683" s="2" t="s">
        <v>5265</v>
      </c>
      <c r="D5683" s="3" t="str">
        <f t="shared" si="943"/>
        <v>12Go Link</v>
      </c>
      <c r="E5683" s="2" t="s">
        <v>5011</v>
      </c>
    </row>
    <row r="5684">
      <c r="A5684" s="2" t="s">
        <v>5252</v>
      </c>
      <c r="B5684" s="2" t="s">
        <v>5027</v>
      </c>
      <c r="C5684" s="2" t="s">
        <v>5265</v>
      </c>
      <c r="D5684" s="3" t="str">
        <f t="shared" si="943"/>
        <v>12Go Link</v>
      </c>
      <c r="E5684" s="2" t="s">
        <v>215</v>
      </c>
    </row>
    <row r="5685">
      <c r="A5685" s="2" t="s">
        <v>5252</v>
      </c>
      <c r="B5685" s="2" t="s">
        <v>5027</v>
      </c>
      <c r="C5685" s="2" t="s">
        <v>5265</v>
      </c>
      <c r="D5685" s="3" t="str">
        <f t="shared" si="943"/>
        <v>12Go Link</v>
      </c>
      <c r="E5685" s="2" t="s">
        <v>4119</v>
      </c>
    </row>
    <row r="5686">
      <c r="A5686" s="2" t="s">
        <v>5252</v>
      </c>
      <c r="B5686" s="2" t="s">
        <v>5027</v>
      </c>
      <c r="C5686" s="2" t="s">
        <v>5266</v>
      </c>
      <c r="D5686" s="3" t="str">
        <f t="shared" ref="D5686:D5689" si="944">HYPERLINK("https://12go.asia/en/travel/Tammalang-Pier/Surat-Thani-Airport", "12Go Link")</f>
        <v>12Go Link</v>
      </c>
      <c r="E5686" s="2" t="s">
        <v>4968</v>
      </c>
    </row>
    <row r="5687">
      <c r="A5687" s="2" t="s">
        <v>5252</v>
      </c>
      <c r="B5687" s="2" t="s">
        <v>5027</v>
      </c>
      <c r="C5687" s="2" t="s">
        <v>5266</v>
      </c>
      <c r="D5687" s="3" t="str">
        <f t="shared" si="944"/>
        <v>12Go Link</v>
      </c>
      <c r="E5687" s="2" t="s">
        <v>5011</v>
      </c>
    </row>
    <row r="5688">
      <c r="A5688" s="2" t="s">
        <v>5252</v>
      </c>
      <c r="B5688" s="2" t="s">
        <v>5027</v>
      </c>
      <c r="C5688" s="2" t="s">
        <v>5266</v>
      </c>
      <c r="D5688" s="3" t="str">
        <f t="shared" si="944"/>
        <v>12Go Link</v>
      </c>
      <c r="E5688" s="2" t="s">
        <v>215</v>
      </c>
    </row>
    <row r="5689">
      <c r="A5689" s="2" t="s">
        <v>5252</v>
      </c>
      <c r="B5689" s="2" t="s">
        <v>5027</v>
      </c>
      <c r="C5689" s="2" t="s">
        <v>5266</v>
      </c>
      <c r="D5689" s="3" t="str">
        <f t="shared" si="944"/>
        <v>12Go Link</v>
      </c>
      <c r="E5689" s="2" t="s">
        <v>4119</v>
      </c>
    </row>
    <row r="5690">
      <c r="A5690" s="2" t="s">
        <v>5252</v>
      </c>
      <c r="B5690" s="2" t="s">
        <v>5027</v>
      </c>
      <c r="C5690" s="2" t="s">
        <v>5267</v>
      </c>
      <c r="D5690" s="3" t="str">
        <f t="shared" ref="D5690:D5693" si="945">HYPERLINK("https://12go.asia/en/travel/Tammalang-Pier/Surat-Thani-Town-Transfer", "12Go Link")</f>
        <v>12Go Link</v>
      </c>
      <c r="E5690" s="2" t="s">
        <v>4968</v>
      </c>
    </row>
    <row r="5691">
      <c r="A5691" s="2" t="s">
        <v>5252</v>
      </c>
      <c r="B5691" s="2" t="s">
        <v>5027</v>
      </c>
      <c r="C5691" s="2" t="s">
        <v>5267</v>
      </c>
      <c r="D5691" s="3" t="str">
        <f t="shared" si="945"/>
        <v>12Go Link</v>
      </c>
      <c r="E5691" s="2" t="s">
        <v>5011</v>
      </c>
    </row>
    <row r="5692">
      <c r="A5692" s="2" t="s">
        <v>5252</v>
      </c>
      <c r="B5692" s="2" t="s">
        <v>5027</v>
      </c>
      <c r="C5692" s="2" t="s">
        <v>5267</v>
      </c>
      <c r="D5692" s="3" t="str">
        <f t="shared" si="945"/>
        <v>12Go Link</v>
      </c>
      <c r="E5692" s="2" t="s">
        <v>215</v>
      </c>
    </row>
    <row r="5693">
      <c r="A5693" s="2" t="s">
        <v>5252</v>
      </c>
      <c r="B5693" s="2" t="s">
        <v>5027</v>
      </c>
      <c r="C5693" s="2" t="s">
        <v>5267</v>
      </c>
      <c r="D5693" s="3" t="str">
        <f t="shared" si="945"/>
        <v>12Go Link</v>
      </c>
      <c r="E5693" s="2" t="s">
        <v>4119</v>
      </c>
    </row>
    <row r="5694">
      <c r="A5694" s="2" t="s">
        <v>4230</v>
      </c>
      <c r="B5694" s="2" t="s">
        <v>5027</v>
      </c>
      <c r="C5694" s="2" t="s">
        <v>5268</v>
      </c>
      <c r="D5694" s="3" t="str">
        <f t="shared" ref="D5694:D5697" si="946">HYPERLINK("https://12go.asia/en/travel/Padang-Besar-Immigration-Thailand-Side/Surat-Thani-Airport", "12Go Link")</f>
        <v>12Go Link</v>
      </c>
      <c r="E5694" s="2" t="s">
        <v>4968</v>
      </c>
    </row>
    <row r="5695">
      <c r="A5695" s="2" t="s">
        <v>4230</v>
      </c>
      <c r="B5695" s="2" t="s">
        <v>5027</v>
      </c>
      <c r="C5695" s="2" t="s">
        <v>5268</v>
      </c>
      <c r="D5695" s="3" t="str">
        <f t="shared" si="946"/>
        <v>12Go Link</v>
      </c>
      <c r="E5695" s="2" t="s">
        <v>5011</v>
      </c>
    </row>
    <row r="5696">
      <c r="A5696" s="2" t="s">
        <v>4230</v>
      </c>
      <c r="B5696" s="2" t="s">
        <v>5027</v>
      </c>
      <c r="C5696" s="2" t="s">
        <v>5268</v>
      </c>
      <c r="D5696" s="3" t="str">
        <f t="shared" si="946"/>
        <v>12Go Link</v>
      </c>
      <c r="E5696" s="2" t="s">
        <v>215</v>
      </c>
    </row>
    <row r="5697">
      <c r="A5697" s="2" t="s">
        <v>4230</v>
      </c>
      <c r="B5697" s="2" t="s">
        <v>5027</v>
      </c>
      <c r="C5697" s="2" t="s">
        <v>5268</v>
      </c>
      <c r="D5697" s="3" t="str">
        <f t="shared" si="946"/>
        <v>12Go Link</v>
      </c>
      <c r="E5697" s="2" t="s">
        <v>4119</v>
      </c>
    </row>
    <row r="5698">
      <c r="A5698" s="2" t="s">
        <v>4230</v>
      </c>
      <c r="B5698" s="2" t="s">
        <v>5027</v>
      </c>
      <c r="C5698" s="2" t="s">
        <v>5269</v>
      </c>
      <c r="D5698" s="3" t="str">
        <f t="shared" ref="D5698:D5701" si="947">HYPERLINK("https://12go.asia/en/travel/Padang-Besar-Immigration-Thailand-Side/Surat-Thani-Town-Transfer", "12Go Link")</f>
        <v>12Go Link</v>
      </c>
      <c r="E5698" s="2" t="s">
        <v>4968</v>
      </c>
    </row>
    <row r="5699">
      <c r="A5699" s="2" t="s">
        <v>4230</v>
      </c>
      <c r="B5699" s="2" t="s">
        <v>5027</v>
      </c>
      <c r="C5699" s="2" t="s">
        <v>5269</v>
      </c>
      <c r="D5699" s="3" t="str">
        <f t="shared" si="947"/>
        <v>12Go Link</v>
      </c>
      <c r="E5699" s="2" t="s">
        <v>5011</v>
      </c>
    </row>
    <row r="5700">
      <c r="A5700" s="2" t="s">
        <v>4230</v>
      </c>
      <c r="B5700" s="2" t="s">
        <v>5027</v>
      </c>
      <c r="C5700" s="2" t="s">
        <v>5269</v>
      </c>
      <c r="D5700" s="3" t="str">
        <f t="shared" si="947"/>
        <v>12Go Link</v>
      </c>
      <c r="E5700" s="2" t="s">
        <v>215</v>
      </c>
    </row>
    <row r="5701">
      <c r="A5701" s="2" t="s">
        <v>4230</v>
      </c>
      <c r="B5701" s="2" t="s">
        <v>5027</v>
      </c>
      <c r="C5701" s="2" t="s">
        <v>5269</v>
      </c>
      <c r="D5701" s="3" t="str">
        <f t="shared" si="947"/>
        <v>12Go Link</v>
      </c>
      <c r="E5701" s="2" t="s">
        <v>4119</v>
      </c>
    </row>
    <row r="5702">
      <c r="A5702" s="2" t="s">
        <v>4230</v>
      </c>
      <c r="B5702" s="2" t="s">
        <v>5027</v>
      </c>
      <c r="C5702" s="2" t="s">
        <v>5270</v>
      </c>
      <c r="D5702" s="3" t="str">
        <f t="shared" ref="D5702:D5705" si="948">HYPERLINK("https://12go.asia/en/travel/Sadao-Border/Surat-Thani-Airport", "12Go Link")</f>
        <v>12Go Link</v>
      </c>
      <c r="E5702" s="2" t="s">
        <v>4968</v>
      </c>
    </row>
    <row r="5703">
      <c r="A5703" s="2" t="s">
        <v>4230</v>
      </c>
      <c r="B5703" s="2" t="s">
        <v>5027</v>
      </c>
      <c r="C5703" s="2" t="s">
        <v>5270</v>
      </c>
      <c r="D5703" s="3" t="str">
        <f t="shared" si="948"/>
        <v>12Go Link</v>
      </c>
      <c r="E5703" s="2" t="s">
        <v>5011</v>
      </c>
    </row>
    <row r="5704">
      <c r="A5704" s="2" t="s">
        <v>4230</v>
      </c>
      <c r="B5704" s="2" t="s">
        <v>5027</v>
      </c>
      <c r="C5704" s="2" t="s">
        <v>5270</v>
      </c>
      <c r="D5704" s="3" t="str">
        <f t="shared" si="948"/>
        <v>12Go Link</v>
      </c>
      <c r="E5704" s="2" t="s">
        <v>215</v>
      </c>
    </row>
    <row r="5705">
      <c r="A5705" s="2" t="s">
        <v>4230</v>
      </c>
      <c r="B5705" s="2" t="s">
        <v>5027</v>
      </c>
      <c r="C5705" s="2" t="s">
        <v>5270</v>
      </c>
      <c r="D5705" s="3" t="str">
        <f t="shared" si="948"/>
        <v>12Go Link</v>
      </c>
      <c r="E5705" s="2" t="s">
        <v>4119</v>
      </c>
    </row>
    <row r="5706">
      <c r="A5706" s="2" t="s">
        <v>4230</v>
      </c>
      <c r="B5706" s="2" t="s">
        <v>5027</v>
      </c>
      <c r="C5706" s="2" t="s">
        <v>5271</v>
      </c>
      <c r="D5706" s="3" t="str">
        <f t="shared" ref="D5706:D5709" si="949">HYPERLINK("https://12go.asia/en/travel/Sadao-Border/Surat-Thani-Town-Transfer", "12Go Link")</f>
        <v>12Go Link</v>
      </c>
      <c r="E5706" s="2" t="s">
        <v>4968</v>
      </c>
    </row>
    <row r="5707">
      <c r="A5707" s="2" t="s">
        <v>4230</v>
      </c>
      <c r="B5707" s="2" t="s">
        <v>5027</v>
      </c>
      <c r="C5707" s="2" t="s">
        <v>5271</v>
      </c>
      <c r="D5707" s="3" t="str">
        <f t="shared" si="949"/>
        <v>12Go Link</v>
      </c>
      <c r="E5707" s="2" t="s">
        <v>5011</v>
      </c>
    </row>
    <row r="5708">
      <c r="A5708" s="2" t="s">
        <v>4230</v>
      </c>
      <c r="B5708" s="2" t="s">
        <v>5027</v>
      </c>
      <c r="C5708" s="2" t="s">
        <v>5271</v>
      </c>
      <c r="D5708" s="3" t="str">
        <f t="shared" si="949"/>
        <v>12Go Link</v>
      </c>
      <c r="E5708" s="2" t="s">
        <v>215</v>
      </c>
    </row>
    <row r="5709">
      <c r="A5709" s="2" t="s">
        <v>4230</v>
      </c>
      <c r="B5709" s="2" t="s">
        <v>5027</v>
      </c>
      <c r="C5709" s="2" t="s">
        <v>5271</v>
      </c>
      <c r="D5709" s="3" t="str">
        <f t="shared" si="949"/>
        <v>12Go Link</v>
      </c>
      <c r="E5709" s="2" t="s">
        <v>4119</v>
      </c>
    </row>
    <row r="5710">
      <c r="A5710" s="2" t="s">
        <v>4952</v>
      </c>
      <c r="B5710" s="2" t="s">
        <v>4951</v>
      </c>
      <c r="C5710" s="2" t="s">
        <v>5272</v>
      </c>
      <c r="D5710" s="3" t="str">
        <f>HYPERLINK("https://12go.asia/en/travel/Sukhothai-Hotel-Transfer/Ayutthaya-Hotel-Transfer", "12Go Link")</f>
        <v>12Go Link</v>
      </c>
      <c r="E5710" s="2" t="s">
        <v>4954</v>
      </c>
    </row>
    <row r="5711">
      <c r="A5711" s="2" t="s">
        <v>4952</v>
      </c>
      <c r="B5711" s="2" t="s">
        <v>4094</v>
      </c>
      <c r="C5711" s="2" t="s">
        <v>5273</v>
      </c>
      <c r="D5711" s="3" t="str">
        <f>HYPERLINK("https://12go.asia/en/travel/Sukhothai-Hotel-Transfer/Chiang-Mai-Transfer", "12Go Link")</f>
        <v>12Go Link</v>
      </c>
      <c r="E5711" s="2" t="s">
        <v>4954</v>
      </c>
    </row>
    <row r="5712">
      <c r="A5712" s="2" t="s">
        <v>4952</v>
      </c>
      <c r="B5712" s="2" t="s">
        <v>5181</v>
      </c>
      <c r="C5712" s="2" t="s">
        <v>5274</v>
      </c>
      <c r="D5712" s="3" t="str">
        <f>HYPERLINK("https://12go.asia/en/travel/Sukhothai-Hotel-Transfer/Lampang-Hotel-Transfer", "12Go Link")</f>
        <v>12Go Link</v>
      </c>
      <c r="E5712" s="2" t="s">
        <v>4954</v>
      </c>
    </row>
    <row r="5713">
      <c r="A5713" s="2" t="s">
        <v>5027</v>
      </c>
      <c r="B5713" s="2" t="s">
        <v>3850</v>
      </c>
      <c r="C5713" s="2" t="s">
        <v>5275</v>
      </c>
      <c r="D5713" s="3" t="str">
        <f>HYPERLINK("https://12go.asia/en/travel/Surat-Thani/Khaosan-The-Twin-2000-Samsen-Rd", "12Go Link")</f>
        <v>12Go Link</v>
      </c>
      <c r="E5713" s="2" t="s">
        <v>4956</v>
      </c>
    </row>
    <row r="5714">
      <c r="A5714" s="2" t="s">
        <v>5027</v>
      </c>
      <c r="B5714" s="2" t="s">
        <v>4928</v>
      </c>
      <c r="C5714" s="2" t="s">
        <v>5276</v>
      </c>
      <c r="D5714" s="3" t="str">
        <f>HYPERLINK("https://12go.asia/en/travel/Nara-Travel-Office/Khao-Sok-Van-Station", "12Go Link")</f>
        <v>12Go Link</v>
      </c>
      <c r="E5714" s="2" t="s">
        <v>4930</v>
      </c>
    </row>
    <row r="5715">
      <c r="A5715" s="2" t="s">
        <v>5027</v>
      </c>
      <c r="B5715" s="2" t="s">
        <v>4937</v>
      </c>
      <c r="C5715" s="2" t="s">
        <v>5277</v>
      </c>
      <c r="D5715" s="3" t="str">
        <f>HYPERLINK("https://12go.asia/en/travel/Surat-Thani-Train-Station/Koh-Phangan-Lomprayah-Office", "12Go Link")</f>
        <v>12Go Link</v>
      </c>
      <c r="E5715" s="2" t="s">
        <v>5167</v>
      </c>
    </row>
    <row r="5716">
      <c r="A5716" s="2" t="s">
        <v>5027</v>
      </c>
      <c r="B5716" s="2" t="s">
        <v>4937</v>
      </c>
      <c r="C5716" s="2" t="s">
        <v>5278</v>
      </c>
      <c r="D5716" s="3" t="str">
        <f>HYPERLINK("https://12go.asia/en/travel/Tapee-pier-Lomprayah/Koh-Phangan-Lomprayah-Office", "12Go Link")</f>
        <v>12Go Link</v>
      </c>
      <c r="E5716" s="2" t="s">
        <v>234</v>
      </c>
    </row>
    <row r="5717">
      <c r="A5717" s="2" t="s">
        <v>5027</v>
      </c>
      <c r="B5717" s="2" t="s">
        <v>4945</v>
      </c>
      <c r="C5717" s="2" t="s">
        <v>5279</v>
      </c>
      <c r="D5717" s="3" t="str">
        <f>HYPERLINK("https://12go.asia/en/travel/Surat-Thani-Train-Station/Maenam-Pier", "12Go Link")</f>
        <v>12Go Link</v>
      </c>
      <c r="E5717" s="2" t="s">
        <v>5167</v>
      </c>
    </row>
    <row r="5718">
      <c r="A5718" s="2" t="s">
        <v>5027</v>
      </c>
      <c r="B5718" s="2" t="s">
        <v>4945</v>
      </c>
      <c r="C5718" s="2" t="s">
        <v>5280</v>
      </c>
      <c r="D5718" s="3" t="str">
        <f>HYPERLINK("https://12go.asia/en/travel/Tapee-pier-Lomprayah/Maenam-Pier", "12Go Link")</f>
        <v>12Go Link</v>
      </c>
      <c r="E5718" s="2" t="s">
        <v>234</v>
      </c>
    </row>
    <row r="5719">
      <c r="A5719" s="2" t="s">
        <v>5027</v>
      </c>
      <c r="B5719" s="2" t="s">
        <v>4978</v>
      </c>
      <c r="C5719" s="2" t="s">
        <v>5281</v>
      </c>
      <c r="D5719" s="3" t="str">
        <f>HYPERLINK("https://12go.asia/en/travel/Surat-Thani-Train-Station/Mae-Haad-Koh-Tao", "12Go Link")</f>
        <v>12Go Link</v>
      </c>
      <c r="E5719" s="2" t="s">
        <v>5167</v>
      </c>
    </row>
    <row r="5720">
      <c r="A5720" s="2" t="s">
        <v>5027</v>
      </c>
      <c r="B5720" s="2" t="s">
        <v>4978</v>
      </c>
      <c r="C5720" s="2" t="s">
        <v>5282</v>
      </c>
      <c r="D5720" s="3" t="str">
        <f>HYPERLINK("https://12go.asia/en/travel/Tapee-pier-Lomprayah/Mae-Haad-Koh-Tao", "12Go Link")</f>
        <v>12Go Link</v>
      </c>
      <c r="E5720" s="2" t="s">
        <v>234</v>
      </c>
    </row>
    <row r="5721">
      <c r="A5721" s="2" t="s">
        <v>5027</v>
      </c>
      <c r="B5721" s="2" t="s">
        <v>4232</v>
      </c>
      <c r="C5721" s="2" t="s">
        <v>5283</v>
      </c>
      <c r="D5721" s="3" t="str">
        <f t="shared" ref="D5721:D5724" si="950">HYPERLINK("https://12go.asia/en/travel/Surat-Thani-Town-Transfer/Trang-Hotel-Transfer", "12Go Link")</f>
        <v>12Go Link</v>
      </c>
      <c r="E5721" s="2" t="s">
        <v>4968</v>
      </c>
    </row>
    <row r="5722">
      <c r="A5722" s="2" t="s">
        <v>5027</v>
      </c>
      <c r="B5722" s="2" t="s">
        <v>4232</v>
      </c>
      <c r="C5722" s="2" t="s">
        <v>5283</v>
      </c>
      <c r="D5722" s="3" t="str">
        <f t="shared" si="950"/>
        <v>12Go Link</v>
      </c>
      <c r="E5722" s="2" t="s">
        <v>5011</v>
      </c>
    </row>
    <row r="5723">
      <c r="A5723" s="2" t="s">
        <v>5027</v>
      </c>
      <c r="B5723" s="2" t="s">
        <v>4232</v>
      </c>
      <c r="C5723" s="2" t="s">
        <v>5283</v>
      </c>
      <c r="D5723" s="3" t="str">
        <f t="shared" si="950"/>
        <v>12Go Link</v>
      </c>
      <c r="E5723" s="2" t="s">
        <v>215</v>
      </c>
    </row>
    <row r="5724">
      <c r="A5724" s="2" t="s">
        <v>5027</v>
      </c>
      <c r="B5724" s="2" t="s">
        <v>4232</v>
      </c>
      <c r="C5724" s="2" t="s">
        <v>5283</v>
      </c>
      <c r="D5724" s="3" t="str">
        <f t="shared" si="950"/>
        <v>12Go Link</v>
      </c>
      <c r="E5724" s="2" t="s">
        <v>4119</v>
      </c>
    </row>
    <row r="5725">
      <c r="A5725" s="2" t="s">
        <v>5120</v>
      </c>
      <c r="B5725" s="2" t="s">
        <v>4937</v>
      </c>
      <c r="C5725" s="2" t="s">
        <v>5284</v>
      </c>
      <c r="D5725" s="3" t="str">
        <f>HYPERLINK("https://12go.asia/en/travel/Surat-Thani-Airport/Koh-Phangan-Lomprayah-Office", "12Go Link")</f>
        <v>12Go Link</v>
      </c>
      <c r="E5725" s="2" t="s">
        <v>4980</v>
      </c>
    </row>
    <row r="5726">
      <c r="A5726" s="2" t="s">
        <v>5120</v>
      </c>
      <c r="B5726" s="2" t="s">
        <v>4945</v>
      </c>
      <c r="C5726" s="2" t="s">
        <v>5285</v>
      </c>
      <c r="D5726" s="3" t="str">
        <f>HYPERLINK("https://12go.asia/en/travel/Surat-Thani-Airport/Maenam-Pier", "12Go Link")</f>
        <v>12Go Link</v>
      </c>
      <c r="E5726" s="2" t="s">
        <v>4980</v>
      </c>
    </row>
    <row r="5727">
      <c r="A5727" s="2" t="s">
        <v>5120</v>
      </c>
      <c r="B5727" s="2" t="s">
        <v>4978</v>
      </c>
      <c r="C5727" s="2" t="s">
        <v>5286</v>
      </c>
      <c r="D5727" s="3" t="str">
        <f>HYPERLINK("https://12go.asia/en/travel/Surat-Thani-Airport/Mae-Haad-Koh-Tao", "12Go Link")</f>
        <v>12Go Link</v>
      </c>
      <c r="E5727" s="2" t="s">
        <v>4980</v>
      </c>
    </row>
    <row r="5728">
      <c r="A5728" s="2" t="s">
        <v>5015</v>
      </c>
      <c r="B5728" s="2" t="s">
        <v>5287</v>
      </c>
      <c r="C5728" s="2" t="s">
        <v>5288</v>
      </c>
      <c r="D5728" s="3" t="str">
        <f>HYPERLINK("https://12go.asia/en/travel/suvarnabhumi-airport/doi-khun-tan-national-park", "12Go Link")</f>
        <v>12Go Link</v>
      </c>
      <c r="E5728" s="2" t="s">
        <v>60</v>
      </c>
    </row>
    <row r="5729">
      <c r="A5729" s="2" t="s">
        <v>5015</v>
      </c>
      <c r="B5729" s="2" t="s">
        <v>5009</v>
      </c>
      <c r="C5729" s="2" t="s">
        <v>5289</v>
      </c>
      <c r="D5729" s="3" t="str">
        <f t="shared" ref="D5729:D5732" si="951">HYPERLINK("https://12go.asia/en/travel/Suvarnabhumi-Airport/Donsak-Piers", "12Go Link")</f>
        <v>12Go Link</v>
      </c>
      <c r="E5729" s="2" t="s">
        <v>4968</v>
      </c>
    </row>
    <row r="5730">
      <c r="A5730" s="2" t="s">
        <v>5015</v>
      </c>
      <c r="B5730" s="2" t="s">
        <v>5009</v>
      </c>
      <c r="C5730" s="2" t="s">
        <v>5289</v>
      </c>
      <c r="D5730" s="3" t="str">
        <f t="shared" si="951"/>
        <v>12Go Link</v>
      </c>
      <c r="E5730" s="2" t="s">
        <v>5011</v>
      </c>
    </row>
    <row r="5731">
      <c r="A5731" s="2" t="s">
        <v>5015</v>
      </c>
      <c r="B5731" s="2" t="s">
        <v>5009</v>
      </c>
      <c r="C5731" s="2" t="s">
        <v>5289</v>
      </c>
      <c r="D5731" s="3" t="str">
        <f t="shared" si="951"/>
        <v>12Go Link</v>
      </c>
      <c r="E5731" s="2" t="s">
        <v>215</v>
      </c>
    </row>
    <row r="5732">
      <c r="A5732" s="2" t="s">
        <v>5015</v>
      </c>
      <c r="B5732" s="2" t="s">
        <v>5009</v>
      </c>
      <c r="C5732" s="2" t="s">
        <v>5289</v>
      </c>
      <c r="D5732" s="3" t="str">
        <f t="shared" si="951"/>
        <v>12Go Link</v>
      </c>
      <c r="E5732" s="2" t="s">
        <v>4119</v>
      </c>
    </row>
    <row r="5733">
      <c r="A5733" s="2" t="s">
        <v>5015</v>
      </c>
      <c r="B5733" s="2" t="s">
        <v>4966</v>
      </c>
      <c r="C5733" s="2" t="s">
        <v>5290</v>
      </c>
      <c r="D5733" s="3" t="str">
        <f t="shared" ref="D5733:D5735" si="952">HYPERLINK("https://12go.asia/en/travel/Suvarnabhumi-Airport/Koh-Chang-Transfer", "12Go Link")</f>
        <v>12Go Link</v>
      </c>
      <c r="E5733" s="2" t="s">
        <v>4968</v>
      </c>
    </row>
    <row r="5734">
      <c r="A5734" s="2" t="s">
        <v>5015</v>
      </c>
      <c r="B5734" s="2" t="s">
        <v>4966</v>
      </c>
      <c r="C5734" s="2" t="s">
        <v>5290</v>
      </c>
      <c r="D5734" s="3" t="str">
        <f t="shared" si="952"/>
        <v>12Go Link</v>
      </c>
      <c r="E5734" s="2" t="s">
        <v>215</v>
      </c>
    </row>
    <row r="5735">
      <c r="A5735" s="2" t="s">
        <v>5015</v>
      </c>
      <c r="B5735" s="2" t="s">
        <v>4966</v>
      </c>
      <c r="C5735" s="2" t="s">
        <v>5290</v>
      </c>
      <c r="D5735" s="3" t="str">
        <f t="shared" si="952"/>
        <v>12Go Link</v>
      </c>
      <c r="E5735" s="2" t="s">
        <v>4119</v>
      </c>
    </row>
    <row r="5736">
      <c r="A5736" s="2" t="s">
        <v>5015</v>
      </c>
      <c r="B5736" s="2" t="s">
        <v>5291</v>
      </c>
      <c r="C5736" s="2" t="s">
        <v>5292</v>
      </c>
      <c r="D5736" s="3" t="str">
        <f t="shared" ref="D5736:D5738" si="953">HYPERLINK("https://12go.asia/en/travel/Suvarnabhumi-Airport/Ao-Thammachat-pier", "12Go Link")</f>
        <v>12Go Link</v>
      </c>
      <c r="E5736" s="2" t="s">
        <v>4968</v>
      </c>
    </row>
    <row r="5737">
      <c r="A5737" s="2" t="s">
        <v>5015</v>
      </c>
      <c r="B5737" s="2" t="s">
        <v>5291</v>
      </c>
      <c r="C5737" s="2" t="s">
        <v>5292</v>
      </c>
      <c r="D5737" s="3" t="str">
        <f t="shared" si="953"/>
        <v>12Go Link</v>
      </c>
      <c r="E5737" s="2" t="s">
        <v>215</v>
      </c>
    </row>
    <row r="5738">
      <c r="A5738" s="2" t="s">
        <v>5015</v>
      </c>
      <c r="B5738" s="2" t="s">
        <v>5291</v>
      </c>
      <c r="C5738" s="2" t="s">
        <v>5292</v>
      </c>
      <c r="D5738" s="3" t="str">
        <f t="shared" si="953"/>
        <v>12Go Link</v>
      </c>
      <c r="E5738" s="2" t="s">
        <v>4119</v>
      </c>
    </row>
    <row r="5739">
      <c r="A5739" s="2" t="s">
        <v>5015</v>
      </c>
      <c r="B5739" s="2" t="s">
        <v>5291</v>
      </c>
      <c r="C5739" s="2" t="s">
        <v>5293</v>
      </c>
      <c r="D5739" s="3" t="str">
        <f t="shared" ref="D5739:D5741" si="954">HYPERLINK("https://12go.asia/en/travel/Suvarnabhumi-Airport/Laem-Sok-Pier", "12Go Link")</f>
        <v>12Go Link</v>
      </c>
      <c r="E5739" s="2" t="s">
        <v>4968</v>
      </c>
    </row>
    <row r="5740">
      <c r="A5740" s="2" t="s">
        <v>5015</v>
      </c>
      <c r="B5740" s="2" t="s">
        <v>5291</v>
      </c>
      <c r="C5740" s="2" t="s">
        <v>5293</v>
      </c>
      <c r="D5740" s="3" t="str">
        <f t="shared" si="954"/>
        <v>12Go Link</v>
      </c>
      <c r="E5740" s="2" t="s">
        <v>215</v>
      </c>
    </row>
    <row r="5741">
      <c r="A5741" s="2" t="s">
        <v>5015</v>
      </c>
      <c r="B5741" s="2" t="s">
        <v>5291</v>
      </c>
      <c r="C5741" s="2" t="s">
        <v>5293</v>
      </c>
      <c r="D5741" s="3" t="str">
        <f t="shared" si="954"/>
        <v>12Go Link</v>
      </c>
      <c r="E5741" s="2" t="s">
        <v>4119</v>
      </c>
    </row>
    <row r="5742">
      <c r="A5742" s="2" t="s">
        <v>4232</v>
      </c>
      <c r="B5742" s="2" t="s">
        <v>5027</v>
      </c>
      <c r="C5742" s="2" t="s">
        <v>5294</v>
      </c>
      <c r="D5742" s="3" t="str">
        <f t="shared" ref="D5742:D5745" si="955">HYPERLINK("https://12go.asia/en/travel/Khuan-Tung-Ku-Pier/Surat-Thani-Airport", "12Go Link")</f>
        <v>12Go Link</v>
      </c>
      <c r="E5742" s="2" t="s">
        <v>4968</v>
      </c>
    </row>
    <row r="5743">
      <c r="A5743" s="2" t="s">
        <v>4232</v>
      </c>
      <c r="B5743" s="2" t="s">
        <v>5027</v>
      </c>
      <c r="C5743" s="2" t="s">
        <v>5294</v>
      </c>
      <c r="D5743" s="3" t="str">
        <f t="shared" si="955"/>
        <v>12Go Link</v>
      </c>
      <c r="E5743" s="2" t="s">
        <v>5011</v>
      </c>
    </row>
    <row r="5744">
      <c r="A5744" s="2" t="s">
        <v>4232</v>
      </c>
      <c r="B5744" s="2" t="s">
        <v>5027</v>
      </c>
      <c r="C5744" s="2" t="s">
        <v>5294</v>
      </c>
      <c r="D5744" s="3" t="str">
        <f t="shared" si="955"/>
        <v>12Go Link</v>
      </c>
      <c r="E5744" s="2" t="s">
        <v>215</v>
      </c>
    </row>
    <row r="5745">
      <c r="A5745" s="2" t="s">
        <v>4232</v>
      </c>
      <c r="B5745" s="2" t="s">
        <v>5027</v>
      </c>
      <c r="C5745" s="2" t="s">
        <v>5294</v>
      </c>
      <c r="D5745" s="3" t="str">
        <f t="shared" si="955"/>
        <v>12Go Link</v>
      </c>
      <c r="E5745" s="2" t="s">
        <v>4119</v>
      </c>
    </row>
    <row r="5746">
      <c r="A5746" s="2" t="s">
        <v>4232</v>
      </c>
      <c r="B5746" s="2" t="s">
        <v>5027</v>
      </c>
      <c r="C5746" s="2" t="s">
        <v>5295</v>
      </c>
      <c r="D5746" s="3" t="str">
        <f t="shared" ref="D5746:D5749" si="956">HYPERLINK("https://12go.asia/en/travel/Khuan-Tung-Ku-Pier/Surat-Thani-Town-Transfer", "12Go Link")</f>
        <v>12Go Link</v>
      </c>
      <c r="E5746" s="2" t="s">
        <v>4968</v>
      </c>
    </row>
    <row r="5747">
      <c r="A5747" s="2" t="s">
        <v>4232</v>
      </c>
      <c r="B5747" s="2" t="s">
        <v>5027</v>
      </c>
      <c r="C5747" s="2" t="s">
        <v>5295</v>
      </c>
      <c r="D5747" s="3" t="str">
        <f t="shared" si="956"/>
        <v>12Go Link</v>
      </c>
      <c r="E5747" s="2" t="s">
        <v>5011</v>
      </c>
    </row>
    <row r="5748">
      <c r="A5748" s="2" t="s">
        <v>4232</v>
      </c>
      <c r="B5748" s="2" t="s">
        <v>5027</v>
      </c>
      <c r="C5748" s="2" t="s">
        <v>5295</v>
      </c>
      <c r="D5748" s="3" t="str">
        <f t="shared" si="956"/>
        <v>12Go Link</v>
      </c>
      <c r="E5748" s="2" t="s">
        <v>215</v>
      </c>
    </row>
    <row r="5749">
      <c r="A5749" s="2" t="s">
        <v>4232</v>
      </c>
      <c r="B5749" s="2" t="s">
        <v>5027</v>
      </c>
      <c r="C5749" s="2" t="s">
        <v>5295</v>
      </c>
      <c r="D5749" s="3" t="str">
        <f t="shared" si="956"/>
        <v>12Go Link</v>
      </c>
      <c r="E5749" s="2" t="s">
        <v>4119</v>
      </c>
    </row>
    <row r="5750">
      <c r="A5750" s="2" t="s">
        <v>4232</v>
      </c>
      <c r="B5750" s="2" t="s">
        <v>5027</v>
      </c>
      <c r="C5750" s="2" t="s">
        <v>5296</v>
      </c>
      <c r="D5750" s="3" t="str">
        <f t="shared" ref="D5750:D5753" si="957">HYPERLINK("https://12go.asia/en/travel/Pak-Meng-Pier/Surat-Thani-Airport", "12Go Link")</f>
        <v>12Go Link</v>
      </c>
      <c r="E5750" s="2" t="s">
        <v>4968</v>
      </c>
    </row>
    <row r="5751">
      <c r="A5751" s="2" t="s">
        <v>4232</v>
      </c>
      <c r="B5751" s="2" t="s">
        <v>5027</v>
      </c>
      <c r="C5751" s="2" t="s">
        <v>5296</v>
      </c>
      <c r="D5751" s="3" t="str">
        <f t="shared" si="957"/>
        <v>12Go Link</v>
      </c>
      <c r="E5751" s="2" t="s">
        <v>5011</v>
      </c>
    </row>
    <row r="5752">
      <c r="A5752" s="2" t="s">
        <v>4232</v>
      </c>
      <c r="B5752" s="2" t="s">
        <v>5027</v>
      </c>
      <c r="C5752" s="2" t="s">
        <v>5296</v>
      </c>
      <c r="D5752" s="3" t="str">
        <f t="shared" si="957"/>
        <v>12Go Link</v>
      </c>
      <c r="E5752" s="2" t="s">
        <v>215</v>
      </c>
    </row>
    <row r="5753">
      <c r="A5753" s="2" t="s">
        <v>4232</v>
      </c>
      <c r="B5753" s="2" t="s">
        <v>5027</v>
      </c>
      <c r="C5753" s="2" t="s">
        <v>5296</v>
      </c>
      <c r="D5753" s="3" t="str">
        <f t="shared" si="957"/>
        <v>12Go Link</v>
      </c>
      <c r="E5753" s="2" t="s">
        <v>4119</v>
      </c>
    </row>
    <row r="5754">
      <c r="A5754" s="2" t="s">
        <v>4232</v>
      </c>
      <c r="B5754" s="2" t="s">
        <v>5027</v>
      </c>
      <c r="C5754" s="2" t="s">
        <v>5297</v>
      </c>
      <c r="D5754" s="3" t="str">
        <f t="shared" ref="D5754:D5757" si="958">HYPERLINK("https://12go.asia/en/travel/Trang-Hotel-Transfer/Surat-Thani-Town-Transfer", "12Go Link")</f>
        <v>12Go Link</v>
      </c>
      <c r="E5754" s="2" t="s">
        <v>4968</v>
      </c>
    </row>
    <row r="5755">
      <c r="A5755" s="2" t="s">
        <v>4232</v>
      </c>
      <c r="B5755" s="2" t="s">
        <v>5027</v>
      </c>
      <c r="C5755" s="2" t="s">
        <v>5297</v>
      </c>
      <c r="D5755" s="3" t="str">
        <f t="shared" si="958"/>
        <v>12Go Link</v>
      </c>
      <c r="E5755" s="2" t="s">
        <v>5011</v>
      </c>
    </row>
    <row r="5756">
      <c r="A5756" s="2" t="s">
        <v>4232</v>
      </c>
      <c r="B5756" s="2" t="s">
        <v>5027</v>
      </c>
      <c r="C5756" s="2" t="s">
        <v>5297</v>
      </c>
      <c r="D5756" s="3" t="str">
        <f t="shared" si="958"/>
        <v>12Go Link</v>
      </c>
      <c r="E5756" s="2" t="s">
        <v>215</v>
      </c>
    </row>
    <row r="5757">
      <c r="A5757" s="2" t="s">
        <v>4232</v>
      </c>
      <c r="B5757" s="2" t="s">
        <v>5027</v>
      </c>
      <c r="C5757" s="2" t="s">
        <v>5297</v>
      </c>
      <c r="D5757" s="3" t="str">
        <f t="shared" si="958"/>
        <v>12Go Link</v>
      </c>
      <c r="E5757" s="2" t="s">
        <v>4119</v>
      </c>
    </row>
    <row r="5758">
      <c r="A5758" s="2" t="s">
        <v>5291</v>
      </c>
      <c r="B5758" s="2" t="s">
        <v>3850</v>
      </c>
      <c r="C5758" s="2" t="s">
        <v>5298</v>
      </c>
      <c r="D5758" s="3" t="str">
        <f>HYPERLINK("https://12go.asia/en/travel/ao-thamachat-pier/ekkamai", "12Go Link")</f>
        <v>12Go Link</v>
      </c>
      <c r="E5758" s="2" t="s">
        <v>25</v>
      </c>
    </row>
    <row r="5759">
      <c r="A5759" s="2" t="s">
        <v>5291</v>
      </c>
      <c r="B5759" s="2" t="s">
        <v>302</v>
      </c>
      <c r="C5759" s="2" t="s">
        <v>5299</v>
      </c>
      <c r="D5759" s="3" t="str">
        <f t="shared" ref="D5759:D5761" si="959">HYPERLINK("https://12go.asia/en/travel/Laem-Sok-Pier/Pattaya-Town", "12Go Link")</f>
        <v>12Go Link</v>
      </c>
      <c r="E5759" s="2" t="s">
        <v>4968</v>
      </c>
    </row>
    <row r="5760">
      <c r="A5760" s="2" t="s">
        <v>5291</v>
      </c>
      <c r="B5760" s="2" t="s">
        <v>302</v>
      </c>
      <c r="C5760" s="2" t="s">
        <v>5299</v>
      </c>
      <c r="D5760" s="3" t="str">
        <f t="shared" si="959"/>
        <v>12Go Link</v>
      </c>
      <c r="E5760" s="2" t="s">
        <v>215</v>
      </c>
    </row>
    <row r="5761">
      <c r="A5761" s="2" t="s">
        <v>5291</v>
      </c>
      <c r="B5761" s="2" t="s">
        <v>302</v>
      </c>
      <c r="C5761" s="2" t="s">
        <v>5299</v>
      </c>
      <c r="D5761" s="3" t="str">
        <f t="shared" si="959"/>
        <v>12Go Link</v>
      </c>
      <c r="E5761" s="2" t="s">
        <v>4119</v>
      </c>
    </row>
    <row r="5762">
      <c r="A5762" s="2" t="s">
        <v>5291</v>
      </c>
      <c r="B5762" s="2" t="s">
        <v>5015</v>
      </c>
      <c r="C5762" s="2" t="s">
        <v>5300</v>
      </c>
      <c r="D5762" s="3" t="str">
        <f t="shared" ref="D5762:D5764" si="960">HYPERLINK("https://12go.asia/en/travel/Laem-Sok-Pier/Suvarnabhumi-Airport", "12Go Link")</f>
        <v>12Go Link</v>
      </c>
      <c r="E5762" s="2" t="s">
        <v>4968</v>
      </c>
    </row>
    <row r="5763">
      <c r="A5763" s="2" t="s">
        <v>5291</v>
      </c>
      <c r="B5763" s="2" t="s">
        <v>5015</v>
      </c>
      <c r="C5763" s="2" t="s">
        <v>5300</v>
      </c>
      <c r="D5763" s="3" t="str">
        <f t="shared" si="960"/>
        <v>12Go Link</v>
      </c>
      <c r="E5763" s="2" t="s">
        <v>215</v>
      </c>
    </row>
    <row r="5764">
      <c r="A5764" s="2" t="s">
        <v>5291</v>
      </c>
      <c r="B5764" s="2" t="s">
        <v>5015</v>
      </c>
      <c r="C5764" s="2" t="s">
        <v>5300</v>
      </c>
      <c r="D5764" s="3" t="str">
        <f t="shared" si="960"/>
        <v>12Go Link</v>
      </c>
      <c r="E5764" s="2" t="s">
        <v>4119</v>
      </c>
    </row>
    <row r="5765">
      <c r="A5765" s="2" t="s">
        <v>5301</v>
      </c>
      <c r="B5765" s="2" t="s">
        <v>5302</v>
      </c>
      <c r="C5765" s="2" t="s">
        <v>5303</v>
      </c>
      <c r="D5765" s="3" t="str">
        <f t="shared" ref="D5765:D5766" si="961">HYPERLINK("https://12go.asia/en/travel/Akyarlar-Hotel-Transfer/Bodrum-Milas-Airport", "12Go Link")</f>
        <v>12Go Link</v>
      </c>
      <c r="E5765" s="2" t="s">
        <v>5304</v>
      </c>
    </row>
    <row r="5766">
      <c r="A5766" s="2" t="s">
        <v>5301</v>
      </c>
      <c r="B5766" s="2" t="s">
        <v>5302</v>
      </c>
      <c r="C5766" s="2" t="s">
        <v>5303</v>
      </c>
      <c r="D5766" s="3" t="str">
        <f t="shared" si="961"/>
        <v>12Go Link</v>
      </c>
      <c r="E5766" s="2" t="s">
        <v>5305</v>
      </c>
    </row>
    <row r="5767">
      <c r="A5767" s="2" t="s">
        <v>5306</v>
      </c>
      <c r="B5767" s="2" t="s">
        <v>5307</v>
      </c>
      <c r="C5767" s="2" t="s">
        <v>5308</v>
      </c>
      <c r="D5767" s="3" t="str">
        <f t="shared" ref="D5767:D5768" si="962">HYPERLINK("https://12go.asia/en/travel/Alacati-Hotel-Transfer/Adnan-Menderes-Airport", "12Go Link")</f>
        <v>12Go Link</v>
      </c>
      <c r="E5767" s="2" t="s">
        <v>5304</v>
      </c>
    </row>
    <row r="5768">
      <c r="A5768" s="2" t="s">
        <v>5306</v>
      </c>
      <c r="B5768" s="2" t="s">
        <v>5307</v>
      </c>
      <c r="C5768" s="2" t="s">
        <v>5308</v>
      </c>
      <c r="D5768" s="3" t="str">
        <f t="shared" si="962"/>
        <v>12Go Link</v>
      </c>
      <c r="E5768" s="2" t="s">
        <v>5305</v>
      </c>
    </row>
    <row r="5769">
      <c r="A5769" s="2" t="s">
        <v>5309</v>
      </c>
      <c r="B5769" s="2" t="s">
        <v>5309</v>
      </c>
      <c r="C5769" s="2" t="s">
        <v>5310</v>
      </c>
      <c r="D5769" s="3" t="str">
        <f t="shared" ref="D5769:D5770" si="963">HYPERLINK("https://12go.asia/en/travel/Alanya-Hotel-Transfer/Gazipasa-Alanya-Airport", "12Go Link")</f>
        <v>12Go Link</v>
      </c>
      <c r="E5769" s="2" t="s">
        <v>5304</v>
      </c>
    </row>
    <row r="5770">
      <c r="A5770" s="2" t="s">
        <v>5309</v>
      </c>
      <c r="B5770" s="2" t="s">
        <v>5309</v>
      </c>
      <c r="C5770" s="2" t="s">
        <v>5310</v>
      </c>
      <c r="D5770" s="3" t="str">
        <f t="shared" si="963"/>
        <v>12Go Link</v>
      </c>
      <c r="E5770" s="2" t="s">
        <v>5305</v>
      </c>
    </row>
    <row r="5771">
      <c r="A5771" s="2" t="s">
        <v>5309</v>
      </c>
      <c r="B5771" s="2" t="s">
        <v>5309</v>
      </c>
      <c r="C5771" s="2" t="s">
        <v>5311</v>
      </c>
      <c r="D5771" s="3" t="str">
        <f t="shared" ref="D5771:D5772" si="964">HYPERLINK("https://12go.asia/en/travel/Gazipasa-Alanya-Airport/Alanya-Hotel-Transfer", "12Go Link")</f>
        <v>12Go Link</v>
      </c>
      <c r="E5771" s="2" t="s">
        <v>5304</v>
      </c>
    </row>
    <row r="5772">
      <c r="A5772" s="2" t="s">
        <v>5309</v>
      </c>
      <c r="B5772" s="2" t="s">
        <v>5309</v>
      </c>
      <c r="C5772" s="2" t="s">
        <v>5311</v>
      </c>
      <c r="D5772" s="3" t="str">
        <f t="shared" si="964"/>
        <v>12Go Link</v>
      </c>
      <c r="E5772" s="2" t="s">
        <v>5305</v>
      </c>
    </row>
    <row r="5773">
      <c r="A5773" s="2" t="s">
        <v>5309</v>
      </c>
      <c r="B5773" s="2" t="s">
        <v>5312</v>
      </c>
      <c r="C5773" s="2" t="s">
        <v>5313</v>
      </c>
      <c r="D5773" s="3" t="str">
        <f t="shared" ref="D5773:D5774" si="965">HYPERLINK("https://12go.asia/en/travel/Gazipasa-Alanya-Airport/Avsallar-Hotel-Transfer", "12Go Link")</f>
        <v>12Go Link</v>
      </c>
      <c r="E5773" s="2" t="s">
        <v>5304</v>
      </c>
    </row>
    <row r="5774">
      <c r="A5774" s="2" t="s">
        <v>5309</v>
      </c>
      <c r="B5774" s="2" t="s">
        <v>5312</v>
      </c>
      <c r="C5774" s="2" t="s">
        <v>5313</v>
      </c>
      <c r="D5774" s="3" t="str">
        <f t="shared" si="965"/>
        <v>12Go Link</v>
      </c>
      <c r="E5774" s="2" t="s">
        <v>5305</v>
      </c>
    </row>
    <row r="5775">
      <c r="A5775" s="2" t="s">
        <v>5309</v>
      </c>
      <c r="B5775" s="2" t="s">
        <v>5314</v>
      </c>
      <c r="C5775" s="2" t="s">
        <v>5315</v>
      </c>
      <c r="D5775" s="3" t="str">
        <f t="shared" ref="D5775:D5776" si="966">HYPERLINK("https://12go.asia/en/travel/Gazipasa-Alanya-Airport/Cenger-Hotel-Transfer", "12Go Link")</f>
        <v>12Go Link</v>
      </c>
      <c r="E5775" s="2" t="s">
        <v>5304</v>
      </c>
    </row>
    <row r="5776">
      <c r="A5776" s="2" t="s">
        <v>5309</v>
      </c>
      <c r="B5776" s="2" t="s">
        <v>5314</v>
      </c>
      <c r="C5776" s="2" t="s">
        <v>5315</v>
      </c>
      <c r="D5776" s="3" t="str">
        <f t="shared" si="966"/>
        <v>12Go Link</v>
      </c>
      <c r="E5776" s="2" t="s">
        <v>5305</v>
      </c>
    </row>
    <row r="5777">
      <c r="A5777" s="2" t="s">
        <v>5309</v>
      </c>
      <c r="B5777" s="2" t="s">
        <v>5316</v>
      </c>
      <c r="C5777" s="2" t="s">
        <v>5317</v>
      </c>
      <c r="D5777" s="3" t="str">
        <f t="shared" ref="D5777:D5778" si="967">HYPERLINK("https://12go.asia/en/travel/Gazipasa-Alanya-Airport/Incekum-Hotel-Transfer", "12Go Link")</f>
        <v>12Go Link</v>
      </c>
      <c r="E5777" s="2" t="s">
        <v>5304</v>
      </c>
    </row>
    <row r="5778">
      <c r="A5778" s="2" t="s">
        <v>5309</v>
      </c>
      <c r="B5778" s="2" t="s">
        <v>5316</v>
      </c>
      <c r="C5778" s="2" t="s">
        <v>5317</v>
      </c>
      <c r="D5778" s="3" t="str">
        <f t="shared" si="967"/>
        <v>12Go Link</v>
      </c>
      <c r="E5778" s="2" t="s">
        <v>5305</v>
      </c>
    </row>
    <row r="5779">
      <c r="A5779" s="2" t="s">
        <v>5309</v>
      </c>
      <c r="B5779" s="2" t="s">
        <v>5318</v>
      </c>
      <c r="C5779" s="2" t="s">
        <v>5319</v>
      </c>
      <c r="D5779" s="3" t="str">
        <f t="shared" ref="D5779:D5780" si="968">HYPERLINK("https://12go.asia/en/travel/Gazipasa-Alanya-Airport/Kargicak-Hotel-Transfer", "12Go Link")</f>
        <v>12Go Link</v>
      </c>
      <c r="E5779" s="2" t="s">
        <v>5304</v>
      </c>
    </row>
    <row r="5780">
      <c r="A5780" s="2" t="s">
        <v>5309</v>
      </c>
      <c r="B5780" s="2" t="s">
        <v>5318</v>
      </c>
      <c r="C5780" s="2" t="s">
        <v>5319</v>
      </c>
      <c r="D5780" s="3" t="str">
        <f t="shared" si="968"/>
        <v>12Go Link</v>
      </c>
      <c r="E5780" s="2" t="s">
        <v>5305</v>
      </c>
    </row>
    <row r="5781">
      <c r="A5781" s="2" t="s">
        <v>5309</v>
      </c>
      <c r="B5781" s="2" t="s">
        <v>5320</v>
      </c>
      <c r="C5781" s="2" t="s">
        <v>5321</v>
      </c>
      <c r="D5781" s="3" t="str">
        <f t="shared" ref="D5781:D5782" si="969">HYPERLINK("https://12go.asia/en/travel/Gazipasa-Alanya-Airport/Kestel-Hotel-Transfer", "12Go Link")</f>
        <v>12Go Link</v>
      </c>
      <c r="E5781" s="2" t="s">
        <v>5304</v>
      </c>
    </row>
    <row r="5782">
      <c r="A5782" s="2" t="s">
        <v>5309</v>
      </c>
      <c r="B5782" s="2" t="s">
        <v>5320</v>
      </c>
      <c r="C5782" s="2" t="s">
        <v>5321</v>
      </c>
      <c r="D5782" s="3" t="str">
        <f t="shared" si="969"/>
        <v>12Go Link</v>
      </c>
      <c r="E5782" s="2" t="s">
        <v>5305</v>
      </c>
    </row>
    <row r="5783">
      <c r="A5783" s="2" t="s">
        <v>5309</v>
      </c>
      <c r="B5783" s="2" t="s">
        <v>5322</v>
      </c>
      <c r="C5783" s="2" t="s">
        <v>5323</v>
      </c>
      <c r="D5783" s="3" t="str">
        <f t="shared" ref="D5783:D5784" si="970">HYPERLINK("https://12go.asia/en/travel/Gazipasa-Alanya-Airport/Kizilagac-Hotel-Transfer", "12Go Link")</f>
        <v>12Go Link</v>
      </c>
      <c r="E5783" s="2" t="s">
        <v>5304</v>
      </c>
    </row>
    <row r="5784">
      <c r="A5784" s="2" t="s">
        <v>5309</v>
      </c>
      <c r="B5784" s="2" t="s">
        <v>5322</v>
      </c>
      <c r="C5784" s="2" t="s">
        <v>5323</v>
      </c>
      <c r="D5784" s="3" t="str">
        <f t="shared" si="970"/>
        <v>12Go Link</v>
      </c>
      <c r="E5784" s="2" t="s">
        <v>5305</v>
      </c>
    </row>
    <row r="5785">
      <c r="A5785" s="2" t="s">
        <v>5309</v>
      </c>
      <c r="B5785" s="2" t="s">
        <v>5324</v>
      </c>
      <c r="C5785" s="2" t="s">
        <v>5325</v>
      </c>
      <c r="D5785" s="3" t="str">
        <f t="shared" ref="D5785:D5786" si="971">HYPERLINK("https://12go.asia/en/travel/Gazipasa-Alanya-Airport/Kizilot-Hotel-Transfer", "12Go Link")</f>
        <v>12Go Link</v>
      </c>
      <c r="E5785" s="2" t="s">
        <v>5304</v>
      </c>
    </row>
    <row r="5786">
      <c r="A5786" s="2" t="s">
        <v>5309</v>
      </c>
      <c r="B5786" s="2" t="s">
        <v>5324</v>
      </c>
      <c r="C5786" s="2" t="s">
        <v>5325</v>
      </c>
      <c r="D5786" s="3" t="str">
        <f t="shared" si="971"/>
        <v>12Go Link</v>
      </c>
      <c r="E5786" s="2" t="s">
        <v>5305</v>
      </c>
    </row>
    <row r="5787">
      <c r="A5787" s="2" t="s">
        <v>5309</v>
      </c>
      <c r="B5787" s="2" t="s">
        <v>5326</v>
      </c>
      <c r="C5787" s="2" t="s">
        <v>5327</v>
      </c>
      <c r="D5787" s="3" t="str">
        <f t="shared" ref="D5787:D5788" si="972">HYPERLINK("https://12go.asia/en/travel/Gazipasa-Alanya-Airport/Konakli-Hotel-Transfer", "12Go Link")</f>
        <v>12Go Link</v>
      </c>
      <c r="E5787" s="2" t="s">
        <v>5304</v>
      </c>
    </row>
    <row r="5788">
      <c r="A5788" s="2" t="s">
        <v>5309</v>
      </c>
      <c r="B5788" s="2" t="s">
        <v>5326</v>
      </c>
      <c r="C5788" s="2" t="s">
        <v>5327</v>
      </c>
      <c r="D5788" s="3" t="str">
        <f t="shared" si="972"/>
        <v>12Go Link</v>
      </c>
      <c r="E5788" s="2" t="s">
        <v>5305</v>
      </c>
    </row>
    <row r="5789">
      <c r="A5789" s="2" t="s">
        <v>5309</v>
      </c>
      <c r="B5789" s="2" t="s">
        <v>5328</v>
      </c>
      <c r="C5789" s="2" t="s">
        <v>5329</v>
      </c>
      <c r="D5789" s="3" t="str">
        <f t="shared" ref="D5789:D5790" si="973">HYPERLINK("https://12go.asia/en/travel/Gazipasa-Alanya-Airport/Mahmutlar-Hotel-Transfer", "12Go Link")</f>
        <v>12Go Link</v>
      </c>
      <c r="E5789" s="2" t="s">
        <v>5304</v>
      </c>
    </row>
    <row r="5790">
      <c r="A5790" s="2" t="s">
        <v>5309</v>
      </c>
      <c r="B5790" s="2" t="s">
        <v>5328</v>
      </c>
      <c r="C5790" s="2" t="s">
        <v>5329</v>
      </c>
      <c r="D5790" s="3" t="str">
        <f t="shared" si="973"/>
        <v>12Go Link</v>
      </c>
      <c r="E5790" s="2" t="s">
        <v>5305</v>
      </c>
    </row>
    <row r="5791">
      <c r="A5791" s="2" t="s">
        <v>5309</v>
      </c>
      <c r="B5791" s="2" t="s">
        <v>5330</v>
      </c>
      <c r="C5791" s="2" t="s">
        <v>5331</v>
      </c>
      <c r="D5791" s="3" t="str">
        <f t="shared" ref="D5791:D5792" si="974">HYPERLINK("https://12go.asia/en/travel/Gazipasa-Alanya-Airport/Oba-Hotel-Transfer", "12Go Link")</f>
        <v>12Go Link</v>
      </c>
      <c r="E5791" s="2" t="s">
        <v>5304</v>
      </c>
    </row>
    <row r="5792">
      <c r="A5792" s="2" t="s">
        <v>5309</v>
      </c>
      <c r="B5792" s="2" t="s">
        <v>5330</v>
      </c>
      <c r="C5792" s="2" t="s">
        <v>5331</v>
      </c>
      <c r="D5792" s="3" t="str">
        <f t="shared" si="974"/>
        <v>12Go Link</v>
      </c>
      <c r="E5792" s="2" t="s">
        <v>5305</v>
      </c>
    </row>
    <row r="5793">
      <c r="A5793" s="2" t="s">
        <v>5309</v>
      </c>
      <c r="B5793" s="2" t="s">
        <v>5332</v>
      </c>
      <c r="C5793" s="2" t="s">
        <v>5333</v>
      </c>
      <c r="D5793" s="3" t="str">
        <f t="shared" ref="D5793:D5794" si="975">HYPERLINK("https://12go.asia/en/travel/Gazipasa-Alanya-Airport/Okurcalar-Hotel-Transfer", "12Go Link")</f>
        <v>12Go Link</v>
      </c>
      <c r="E5793" s="2" t="s">
        <v>5304</v>
      </c>
    </row>
    <row r="5794">
      <c r="A5794" s="2" t="s">
        <v>5309</v>
      </c>
      <c r="B5794" s="2" t="s">
        <v>5332</v>
      </c>
      <c r="C5794" s="2" t="s">
        <v>5333</v>
      </c>
      <c r="D5794" s="3" t="str">
        <f t="shared" si="975"/>
        <v>12Go Link</v>
      </c>
      <c r="E5794" s="2" t="s">
        <v>5305</v>
      </c>
    </row>
    <row r="5795">
      <c r="A5795" s="2" t="s">
        <v>5309</v>
      </c>
      <c r="B5795" s="2" t="s">
        <v>5334</v>
      </c>
      <c r="C5795" s="2" t="s">
        <v>5335</v>
      </c>
      <c r="D5795" s="3" t="str">
        <f t="shared" ref="D5795:D5796" si="976">HYPERLINK("https://12go.asia/en/travel/Gazipasa-Alanya-Airport/Orensehir-Hotel-Transfer", "12Go Link")</f>
        <v>12Go Link</v>
      </c>
      <c r="E5795" s="2" t="s">
        <v>5304</v>
      </c>
    </row>
    <row r="5796">
      <c r="A5796" s="2" t="s">
        <v>5309</v>
      </c>
      <c r="B5796" s="2" t="s">
        <v>5334</v>
      </c>
      <c r="C5796" s="2" t="s">
        <v>5335</v>
      </c>
      <c r="D5796" s="3" t="str">
        <f t="shared" si="976"/>
        <v>12Go Link</v>
      </c>
      <c r="E5796" s="2" t="s">
        <v>5305</v>
      </c>
    </row>
    <row r="5797">
      <c r="A5797" s="2" t="s">
        <v>5309</v>
      </c>
      <c r="B5797" s="2" t="s">
        <v>5336</v>
      </c>
      <c r="C5797" s="2" t="s">
        <v>5337</v>
      </c>
      <c r="D5797" s="3" t="str">
        <f t="shared" ref="D5797:D5798" si="977">HYPERLINK("https://12go.asia/en/travel/Gazipasa-Alanya-Airport/Payallar-Hotel-Transfer", "12Go Link")</f>
        <v>12Go Link</v>
      </c>
      <c r="E5797" s="2" t="s">
        <v>5304</v>
      </c>
    </row>
    <row r="5798">
      <c r="A5798" s="2" t="s">
        <v>5309</v>
      </c>
      <c r="B5798" s="2" t="s">
        <v>5336</v>
      </c>
      <c r="C5798" s="2" t="s">
        <v>5337</v>
      </c>
      <c r="D5798" s="3" t="str">
        <f t="shared" si="977"/>
        <v>12Go Link</v>
      </c>
      <c r="E5798" s="2" t="s">
        <v>5305</v>
      </c>
    </row>
    <row r="5799">
      <c r="A5799" s="2" t="s">
        <v>5309</v>
      </c>
      <c r="B5799" s="2" t="s">
        <v>5338</v>
      </c>
      <c r="C5799" s="2" t="s">
        <v>5339</v>
      </c>
      <c r="D5799" s="3" t="str">
        <f t="shared" ref="D5799:D5800" si="978">HYPERLINK("https://12go.asia/en/travel/Gazipasa-Alanya-Airport/Side-Hotel-Transfer", "12Go Link")</f>
        <v>12Go Link</v>
      </c>
      <c r="E5799" s="2" t="s">
        <v>5304</v>
      </c>
    </row>
    <row r="5800">
      <c r="A5800" s="2" t="s">
        <v>5309</v>
      </c>
      <c r="B5800" s="2" t="s">
        <v>5338</v>
      </c>
      <c r="C5800" s="2" t="s">
        <v>5339</v>
      </c>
      <c r="D5800" s="3" t="str">
        <f t="shared" si="978"/>
        <v>12Go Link</v>
      </c>
      <c r="E5800" s="2" t="s">
        <v>5305</v>
      </c>
    </row>
    <row r="5801">
      <c r="A5801" s="2" t="s">
        <v>5309</v>
      </c>
      <c r="B5801" s="2" t="s">
        <v>5340</v>
      </c>
      <c r="C5801" s="2" t="s">
        <v>5341</v>
      </c>
      <c r="D5801" s="3" t="str">
        <f t="shared" ref="D5801:D5802" si="979">HYPERLINK("https://12go.asia/en/travel/Gazipasa-Alanya-Airport/Tosmur-Hotel-Transfer", "12Go Link")</f>
        <v>12Go Link</v>
      </c>
      <c r="E5801" s="2" t="s">
        <v>5304</v>
      </c>
    </row>
    <row r="5802">
      <c r="A5802" s="2" t="s">
        <v>5309</v>
      </c>
      <c r="B5802" s="2" t="s">
        <v>5340</v>
      </c>
      <c r="C5802" s="2" t="s">
        <v>5341</v>
      </c>
      <c r="D5802" s="3" t="str">
        <f t="shared" si="979"/>
        <v>12Go Link</v>
      </c>
      <c r="E5802" s="2" t="s">
        <v>5305</v>
      </c>
    </row>
    <row r="5803">
      <c r="A5803" s="2" t="s">
        <v>5309</v>
      </c>
      <c r="B5803" s="2" t="s">
        <v>5342</v>
      </c>
      <c r="C5803" s="2" t="s">
        <v>5343</v>
      </c>
      <c r="D5803" s="3" t="str">
        <f t="shared" ref="D5803:D5804" si="980">HYPERLINK("https://12go.asia/en/travel/Gazipasa-Alanya-Airport/Turkler-Hotel-Transfer", "12Go Link")</f>
        <v>12Go Link</v>
      </c>
      <c r="E5803" s="2" t="s">
        <v>5304</v>
      </c>
    </row>
    <row r="5804">
      <c r="A5804" s="2" t="s">
        <v>5309</v>
      </c>
      <c r="B5804" s="2" t="s">
        <v>5342</v>
      </c>
      <c r="C5804" s="2" t="s">
        <v>5343</v>
      </c>
      <c r="D5804" s="3" t="str">
        <f t="shared" si="980"/>
        <v>12Go Link</v>
      </c>
      <c r="E5804" s="2" t="s">
        <v>5305</v>
      </c>
    </row>
    <row r="5805">
      <c r="A5805" s="2" t="s">
        <v>5344</v>
      </c>
      <c r="B5805" s="2" t="s">
        <v>5307</v>
      </c>
      <c r="C5805" s="2" t="s">
        <v>5345</v>
      </c>
      <c r="D5805" s="3" t="str">
        <f t="shared" ref="D5805:D5806" si="981">HYPERLINK("https://12go.asia/en/travel/Aliaga-Hotel-Transfer/Adnan-Menderes-Airport", "12Go Link")</f>
        <v>12Go Link</v>
      </c>
      <c r="E5805" s="2" t="s">
        <v>5304</v>
      </c>
    </row>
    <row r="5806">
      <c r="A5806" s="2" t="s">
        <v>5344</v>
      </c>
      <c r="B5806" s="2" t="s">
        <v>5307</v>
      </c>
      <c r="C5806" s="2" t="s">
        <v>5345</v>
      </c>
      <c r="D5806" s="3" t="str">
        <f t="shared" si="981"/>
        <v>12Go Link</v>
      </c>
      <c r="E5806" s="2" t="s">
        <v>5305</v>
      </c>
    </row>
    <row r="5807">
      <c r="A5807" s="2" t="s">
        <v>5346</v>
      </c>
      <c r="B5807" s="2" t="s">
        <v>5314</v>
      </c>
      <c r="C5807" s="2" t="s">
        <v>5347</v>
      </c>
      <c r="D5807" s="3" t="str">
        <f t="shared" ref="D5807:D5808" si="982">HYPERLINK("https://12go.asia/en/travel/Antalya-Airport/Cenger-Hotel-Transfer", "12Go Link")</f>
        <v>12Go Link</v>
      </c>
      <c r="E5807" s="2" t="s">
        <v>5304</v>
      </c>
    </row>
    <row r="5808">
      <c r="A5808" s="2" t="s">
        <v>5346</v>
      </c>
      <c r="B5808" s="2" t="s">
        <v>5314</v>
      </c>
      <c r="C5808" s="2" t="s">
        <v>5347</v>
      </c>
      <c r="D5808" s="3" t="str">
        <f t="shared" si="982"/>
        <v>12Go Link</v>
      </c>
      <c r="E5808" s="2" t="s">
        <v>5305</v>
      </c>
    </row>
    <row r="5809">
      <c r="A5809" s="2" t="s">
        <v>5346</v>
      </c>
      <c r="B5809" s="2" t="s">
        <v>5316</v>
      </c>
      <c r="C5809" s="2" t="s">
        <v>5348</v>
      </c>
      <c r="D5809" s="3" t="str">
        <f t="shared" ref="D5809:D5810" si="983">HYPERLINK("https://12go.asia/en/travel/Antalya-Airport/Incekum-Hotel-Transfer", "12Go Link")</f>
        <v>12Go Link</v>
      </c>
      <c r="E5809" s="2" t="s">
        <v>5304</v>
      </c>
    </row>
    <row r="5810">
      <c r="A5810" s="2" t="s">
        <v>5346</v>
      </c>
      <c r="B5810" s="2" t="s">
        <v>5316</v>
      </c>
      <c r="C5810" s="2" t="s">
        <v>5348</v>
      </c>
      <c r="D5810" s="3" t="str">
        <f t="shared" si="983"/>
        <v>12Go Link</v>
      </c>
      <c r="E5810" s="2" t="s">
        <v>5305</v>
      </c>
    </row>
    <row r="5811">
      <c r="A5811" s="2" t="s">
        <v>5346</v>
      </c>
      <c r="B5811" s="2" t="s">
        <v>5318</v>
      </c>
      <c r="C5811" s="2" t="s">
        <v>5349</v>
      </c>
      <c r="D5811" s="3" t="str">
        <f t="shared" ref="D5811:D5812" si="984">HYPERLINK("https://12go.asia/en/travel/Antalya-Airport/Kargicak-Hotel-Transfer", "12Go Link")</f>
        <v>12Go Link</v>
      </c>
      <c r="E5811" s="2" t="s">
        <v>5304</v>
      </c>
    </row>
    <row r="5812">
      <c r="A5812" s="2" t="s">
        <v>5346</v>
      </c>
      <c r="B5812" s="2" t="s">
        <v>5318</v>
      </c>
      <c r="C5812" s="2" t="s">
        <v>5349</v>
      </c>
      <c r="D5812" s="3" t="str">
        <f t="shared" si="984"/>
        <v>12Go Link</v>
      </c>
      <c r="E5812" s="2" t="s">
        <v>5305</v>
      </c>
    </row>
    <row r="5813">
      <c r="A5813" s="2" t="s">
        <v>5346</v>
      </c>
      <c r="B5813" s="2" t="s">
        <v>5320</v>
      </c>
      <c r="C5813" s="2" t="s">
        <v>5350</v>
      </c>
      <c r="D5813" s="3" t="str">
        <f t="shared" ref="D5813:D5814" si="985">HYPERLINK("https://12go.asia/en/travel/Antalya-Airport/Kestel-Hotel-Transfer", "12Go Link")</f>
        <v>12Go Link</v>
      </c>
      <c r="E5813" s="2" t="s">
        <v>5304</v>
      </c>
    </row>
    <row r="5814">
      <c r="A5814" s="2" t="s">
        <v>5346</v>
      </c>
      <c r="B5814" s="2" t="s">
        <v>5320</v>
      </c>
      <c r="C5814" s="2" t="s">
        <v>5350</v>
      </c>
      <c r="D5814" s="3" t="str">
        <f t="shared" si="985"/>
        <v>12Go Link</v>
      </c>
      <c r="E5814" s="2" t="s">
        <v>5305</v>
      </c>
    </row>
    <row r="5815">
      <c r="A5815" s="2" t="s">
        <v>5346</v>
      </c>
      <c r="B5815" s="2" t="s">
        <v>5326</v>
      </c>
      <c r="C5815" s="2" t="s">
        <v>5351</v>
      </c>
      <c r="D5815" s="3" t="str">
        <f t="shared" ref="D5815:D5816" si="986">HYPERLINK("https://12go.asia/en/travel/Antalya-Airport/Konakli-Hotel-Transfer", "12Go Link")</f>
        <v>12Go Link</v>
      </c>
      <c r="E5815" s="2" t="s">
        <v>5304</v>
      </c>
    </row>
    <row r="5816">
      <c r="A5816" s="2" t="s">
        <v>5346</v>
      </c>
      <c r="B5816" s="2" t="s">
        <v>5326</v>
      </c>
      <c r="C5816" s="2" t="s">
        <v>5351</v>
      </c>
      <c r="D5816" s="3" t="str">
        <f t="shared" si="986"/>
        <v>12Go Link</v>
      </c>
      <c r="E5816" s="2" t="s">
        <v>5305</v>
      </c>
    </row>
    <row r="5817">
      <c r="A5817" s="2" t="s">
        <v>5346</v>
      </c>
      <c r="B5817" s="2" t="s">
        <v>5328</v>
      </c>
      <c r="C5817" s="2" t="s">
        <v>5352</v>
      </c>
      <c r="D5817" s="3" t="str">
        <f t="shared" ref="D5817:D5818" si="987">HYPERLINK("https://12go.asia/en/travel/Antalya-Airport/Mahmutlar-Hotel-Transfer", "12Go Link")</f>
        <v>12Go Link</v>
      </c>
      <c r="E5817" s="2" t="s">
        <v>5304</v>
      </c>
    </row>
    <row r="5818">
      <c r="A5818" s="2" t="s">
        <v>5346</v>
      </c>
      <c r="B5818" s="2" t="s">
        <v>5328</v>
      </c>
      <c r="C5818" s="2" t="s">
        <v>5352</v>
      </c>
      <c r="D5818" s="3" t="str">
        <f t="shared" si="987"/>
        <v>12Go Link</v>
      </c>
      <c r="E5818" s="2" t="s">
        <v>5305</v>
      </c>
    </row>
    <row r="5819">
      <c r="A5819" s="2" t="s">
        <v>5346</v>
      </c>
      <c r="B5819" s="2" t="s">
        <v>5353</v>
      </c>
      <c r="C5819" s="2" t="s">
        <v>5354</v>
      </c>
      <c r="D5819" s="3" t="str">
        <f t="shared" ref="D5819:D5820" si="988">HYPERLINK("https://12go.asia/en/travel/Antalya-Airport/Sorgun-Hotel-Transfer", "12Go Link")</f>
        <v>12Go Link</v>
      </c>
      <c r="E5819" s="2" t="s">
        <v>5304</v>
      </c>
    </row>
    <row r="5820">
      <c r="A5820" s="2" t="s">
        <v>5346</v>
      </c>
      <c r="B5820" s="2" t="s">
        <v>5353</v>
      </c>
      <c r="C5820" s="2" t="s">
        <v>5354</v>
      </c>
      <c r="D5820" s="3" t="str">
        <f t="shared" si="988"/>
        <v>12Go Link</v>
      </c>
      <c r="E5820" s="2" t="s">
        <v>5305</v>
      </c>
    </row>
    <row r="5821">
      <c r="A5821" s="2" t="s">
        <v>5346</v>
      </c>
      <c r="B5821" s="2" t="s">
        <v>5334</v>
      </c>
      <c r="C5821" s="2" t="s">
        <v>5355</v>
      </c>
      <c r="D5821" s="3" t="str">
        <f t="shared" ref="D5821:D5822" si="989">HYPERLINK("https://12go.asia/en/travel/Antalya-Airport/Orensehir-Hotel-Transfer", "12Go Link")</f>
        <v>12Go Link</v>
      </c>
      <c r="E5821" s="2" t="s">
        <v>5304</v>
      </c>
    </row>
    <row r="5822">
      <c r="A5822" s="2" t="s">
        <v>5346</v>
      </c>
      <c r="B5822" s="2" t="s">
        <v>5334</v>
      </c>
      <c r="C5822" s="2" t="s">
        <v>5355</v>
      </c>
      <c r="D5822" s="3" t="str">
        <f t="shared" si="989"/>
        <v>12Go Link</v>
      </c>
      <c r="E5822" s="2" t="s">
        <v>5305</v>
      </c>
    </row>
    <row r="5823">
      <c r="A5823" s="2" t="s">
        <v>5346</v>
      </c>
      <c r="B5823" s="2" t="s">
        <v>5336</v>
      </c>
      <c r="C5823" s="2" t="s">
        <v>5356</v>
      </c>
      <c r="D5823" s="3" t="str">
        <f t="shared" ref="D5823:D5824" si="990">HYPERLINK("https://12go.asia/en/travel/Antalya-Airport/Payallar-Hotel-Transfer", "12Go Link")</f>
        <v>12Go Link</v>
      </c>
      <c r="E5823" s="2" t="s">
        <v>5304</v>
      </c>
    </row>
    <row r="5824">
      <c r="A5824" s="2" t="s">
        <v>5346</v>
      </c>
      <c r="B5824" s="2" t="s">
        <v>5336</v>
      </c>
      <c r="C5824" s="2" t="s">
        <v>5356</v>
      </c>
      <c r="D5824" s="3" t="str">
        <f t="shared" si="990"/>
        <v>12Go Link</v>
      </c>
      <c r="E5824" s="2" t="s">
        <v>5305</v>
      </c>
    </row>
    <row r="5825">
      <c r="A5825" s="2" t="s">
        <v>5346</v>
      </c>
      <c r="B5825" s="2" t="s">
        <v>5340</v>
      </c>
      <c r="C5825" s="2" t="s">
        <v>5357</v>
      </c>
      <c r="D5825" s="3" t="str">
        <f t="shared" ref="D5825:D5826" si="991">HYPERLINK("https://12go.asia/en/travel/Antalya-Airport/Tosmur-Hotel-Transfer", "12Go Link")</f>
        <v>12Go Link</v>
      </c>
      <c r="E5825" s="2" t="s">
        <v>5304</v>
      </c>
    </row>
    <row r="5826">
      <c r="A5826" s="2" t="s">
        <v>5346</v>
      </c>
      <c r="B5826" s="2" t="s">
        <v>5340</v>
      </c>
      <c r="C5826" s="2" t="s">
        <v>5357</v>
      </c>
      <c r="D5826" s="3" t="str">
        <f t="shared" si="991"/>
        <v>12Go Link</v>
      </c>
      <c r="E5826" s="2" t="s">
        <v>5305</v>
      </c>
    </row>
    <row r="5827">
      <c r="A5827" s="2" t="s">
        <v>5312</v>
      </c>
      <c r="B5827" s="2" t="s">
        <v>5309</v>
      </c>
      <c r="C5827" s="2" t="s">
        <v>5358</v>
      </c>
      <c r="D5827" s="3" t="str">
        <f t="shared" ref="D5827:D5828" si="992">HYPERLINK("https://12go.asia/en/travel/Avsallar-Hotel-Transfer/Gazipasa-Alanya-Airport", "12Go Link")</f>
        <v>12Go Link</v>
      </c>
      <c r="E5827" s="2" t="s">
        <v>5304</v>
      </c>
    </row>
    <row r="5828">
      <c r="A5828" s="2" t="s">
        <v>5312</v>
      </c>
      <c r="B5828" s="2" t="s">
        <v>5309</v>
      </c>
      <c r="C5828" s="2" t="s">
        <v>5358</v>
      </c>
      <c r="D5828" s="3" t="str">
        <f t="shared" si="992"/>
        <v>12Go Link</v>
      </c>
      <c r="E5828" s="2" t="s">
        <v>5305</v>
      </c>
    </row>
    <row r="5829">
      <c r="A5829" s="2" t="s">
        <v>5359</v>
      </c>
      <c r="B5829" s="2" t="s">
        <v>5307</v>
      </c>
      <c r="C5829" s="2" t="s">
        <v>5360</v>
      </c>
      <c r="D5829" s="3" t="str">
        <f t="shared" ref="D5829:D5830" si="993">HYPERLINK("https://12go.asia/en/travel/Aydin-Hotel-Transfer/Adnan-Menderes-Airport", "12Go Link")</f>
        <v>12Go Link</v>
      </c>
      <c r="E5829" s="2" t="s">
        <v>5304</v>
      </c>
    </row>
    <row r="5830">
      <c r="A5830" s="2" t="s">
        <v>5359</v>
      </c>
      <c r="B5830" s="2" t="s">
        <v>5307</v>
      </c>
      <c r="C5830" s="2" t="s">
        <v>5360</v>
      </c>
      <c r="D5830" s="3" t="str">
        <f t="shared" si="993"/>
        <v>12Go Link</v>
      </c>
      <c r="E5830" s="2" t="s">
        <v>5305</v>
      </c>
    </row>
    <row r="5831">
      <c r="A5831" s="2" t="s">
        <v>5361</v>
      </c>
      <c r="B5831" s="2" t="s">
        <v>5307</v>
      </c>
      <c r="C5831" s="2" t="s">
        <v>5362</v>
      </c>
      <c r="D5831" s="3" t="str">
        <f t="shared" ref="D5831:D5832" si="994">HYPERLINK("https://12go.asia/en/travel/Ayvalik-Hotel-Transfer/Adnan-Menderes-Airport", "12Go Link")</f>
        <v>12Go Link</v>
      </c>
      <c r="E5831" s="2" t="s">
        <v>5304</v>
      </c>
    </row>
    <row r="5832">
      <c r="A5832" s="2" t="s">
        <v>5361</v>
      </c>
      <c r="B5832" s="2" t="s">
        <v>5307</v>
      </c>
      <c r="C5832" s="2" t="s">
        <v>5362</v>
      </c>
      <c r="D5832" s="3" t="str">
        <f t="shared" si="994"/>
        <v>12Go Link</v>
      </c>
      <c r="E5832" s="2" t="s">
        <v>5305</v>
      </c>
    </row>
    <row r="5833">
      <c r="A5833" s="2" t="s">
        <v>5363</v>
      </c>
      <c r="B5833" s="2" t="s">
        <v>5307</v>
      </c>
      <c r="C5833" s="2" t="s">
        <v>5364</v>
      </c>
      <c r="D5833" s="3" t="str">
        <f t="shared" ref="D5833:D5834" si="995">HYPERLINK("https://12go.asia/en/travel/Bademli-Hotel-Transfer/Adnan-Menderes-Airport", "12Go Link")</f>
        <v>12Go Link</v>
      </c>
      <c r="E5833" s="2" t="s">
        <v>5304</v>
      </c>
    </row>
    <row r="5834">
      <c r="A5834" s="2" t="s">
        <v>5363</v>
      </c>
      <c r="B5834" s="2" t="s">
        <v>5307</v>
      </c>
      <c r="C5834" s="2" t="s">
        <v>5364</v>
      </c>
      <c r="D5834" s="3" t="str">
        <f t="shared" si="995"/>
        <v>12Go Link</v>
      </c>
      <c r="E5834" s="2" t="s">
        <v>5305</v>
      </c>
    </row>
    <row r="5835">
      <c r="A5835" s="2" t="s">
        <v>5365</v>
      </c>
      <c r="B5835" s="2" t="s">
        <v>5307</v>
      </c>
      <c r="C5835" s="2" t="s">
        <v>5366</v>
      </c>
      <c r="D5835" s="3" t="str">
        <f t="shared" ref="D5835:D5836" si="996">HYPERLINK("https://12go.asia/en/travel/Balikesir-Hotel-Transfer/Adnan-Menderes-Airport", "12Go Link")</f>
        <v>12Go Link</v>
      </c>
      <c r="E5835" s="2" t="s">
        <v>5304</v>
      </c>
    </row>
    <row r="5836">
      <c r="A5836" s="2" t="s">
        <v>5365</v>
      </c>
      <c r="B5836" s="2" t="s">
        <v>5307</v>
      </c>
      <c r="C5836" s="2" t="s">
        <v>5366</v>
      </c>
      <c r="D5836" s="3" t="str">
        <f t="shared" si="996"/>
        <v>12Go Link</v>
      </c>
      <c r="E5836" s="2" t="s">
        <v>5305</v>
      </c>
    </row>
    <row r="5837">
      <c r="A5837" s="2" t="s">
        <v>5367</v>
      </c>
      <c r="B5837" s="2" t="s">
        <v>5307</v>
      </c>
      <c r="C5837" s="2" t="s">
        <v>5368</v>
      </c>
      <c r="D5837" s="3" t="str">
        <f t="shared" ref="D5837:D5838" si="997">HYPERLINK("https://12go.asia/en/travel/Balikliova-Hotel-Transfer/Adnan-Menderes-Airport", "12Go Link")</f>
        <v>12Go Link</v>
      </c>
      <c r="E5837" s="2" t="s">
        <v>5304</v>
      </c>
    </row>
    <row r="5838">
      <c r="A5838" s="2" t="s">
        <v>5367</v>
      </c>
      <c r="B5838" s="2" t="s">
        <v>5307</v>
      </c>
      <c r="C5838" s="2" t="s">
        <v>5368</v>
      </c>
      <c r="D5838" s="3" t="str">
        <f t="shared" si="997"/>
        <v>12Go Link</v>
      </c>
      <c r="E5838" s="2" t="s">
        <v>5305</v>
      </c>
    </row>
    <row r="5839">
      <c r="A5839" s="2" t="s">
        <v>5369</v>
      </c>
      <c r="B5839" s="2" t="s">
        <v>5307</v>
      </c>
      <c r="C5839" s="2" t="s">
        <v>5370</v>
      </c>
      <c r="D5839" s="3" t="str">
        <f t="shared" ref="D5839:D5840" si="998">HYPERLINK("https://12go.asia/en/travel/Bergama-Hotel-Transfer/Adnan-Menderes-Airport", "12Go Link")</f>
        <v>12Go Link</v>
      </c>
      <c r="E5839" s="2" t="s">
        <v>5304</v>
      </c>
    </row>
    <row r="5840">
      <c r="A5840" s="2" t="s">
        <v>5369</v>
      </c>
      <c r="B5840" s="2" t="s">
        <v>5307</v>
      </c>
      <c r="C5840" s="2" t="s">
        <v>5370</v>
      </c>
      <c r="D5840" s="3" t="str">
        <f t="shared" si="998"/>
        <v>12Go Link</v>
      </c>
      <c r="E5840" s="2" t="s">
        <v>5305</v>
      </c>
    </row>
    <row r="5841">
      <c r="A5841" s="2" t="s">
        <v>5371</v>
      </c>
      <c r="B5841" s="2" t="s">
        <v>5302</v>
      </c>
      <c r="C5841" s="2" t="s">
        <v>5372</v>
      </c>
      <c r="D5841" s="3" t="str">
        <f t="shared" ref="D5841:D5842" si="999">HYPERLINK("https://12go.asia/en/travel/Bitez-Hotel-Transfer/Bodrum-Milas-Airport", "12Go Link")</f>
        <v>12Go Link</v>
      </c>
      <c r="E5841" s="2" t="s">
        <v>5304</v>
      </c>
    </row>
    <row r="5842">
      <c r="A5842" s="2" t="s">
        <v>5371</v>
      </c>
      <c r="B5842" s="2" t="s">
        <v>5302</v>
      </c>
      <c r="C5842" s="2" t="s">
        <v>5372</v>
      </c>
      <c r="D5842" s="3" t="str">
        <f t="shared" si="999"/>
        <v>12Go Link</v>
      </c>
      <c r="E5842" s="2" t="s">
        <v>5305</v>
      </c>
    </row>
    <row r="5843">
      <c r="A5843" s="2" t="s">
        <v>5302</v>
      </c>
      <c r="B5843" s="2" t="s">
        <v>5301</v>
      </c>
      <c r="C5843" s="2" t="s">
        <v>5373</v>
      </c>
      <c r="D5843" s="3" t="str">
        <f t="shared" ref="D5843:D5844" si="1000">HYPERLINK("https://12go.asia/en/travel/Bodrum-Milas-Airport/Akyarlar-Hotel-Transfer", "12Go Link")</f>
        <v>12Go Link</v>
      </c>
      <c r="E5843" s="2" t="s">
        <v>5304</v>
      </c>
    </row>
    <row r="5844">
      <c r="A5844" s="2" t="s">
        <v>5302</v>
      </c>
      <c r="B5844" s="2" t="s">
        <v>5301</v>
      </c>
      <c r="C5844" s="2" t="s">
        <v>5373</v>
      </c>
      <c r="D5844" s="3" t="str">
        <f t="shared" si="1000"/>
        <v>12Go Link</v>
      </c>
      <c r="E5844" s="2" t="s">
        <v>5305</v>
      </c>
    </row>
    <row r="5845">
      <c r="A5845" s="2" t="s">
        <v>5302</v>
      </c>
      <c r="B5845" s="2" t="s">
        <v>5371</v>
      </c>
      <c r="C5845" s="2" t="s">
        <v>5374</v>
      </c>
      <c r="D5845" s="3" t="str">
        <f t="shared" ref="D5845:D5846" si="1001">HYPERLINK("https://12go.asia/en/travel/Bodrum-Milas-Airport/Bitez-Hotel-Transfer", "12Go Link")</f>
        <v>12Go Link</v>
      </c>
      <c r="E5845" s="2" t="s">
        <v>5304</v>
      </c>
    </row>
    <row r="5846">
      <c r="A5846" s="2" t="s">
        <v>5302</v>
      </c>
      <c r="B5846" s="2" t="s">
        <v>5371</v>
      </c>
      <c r="C5846" s="2" t="s">
        <v>5374</v>
      </c>
      <c r="D5846" s="3" t="str">
        <f t="shared" si="1001"/>
        <v>12Go Link</v>
      </c>
      <c r="E5846" s="2" t="s">
        <v>5305</v>
      </c>
    </row>
    <row r="5847">
      <c r="A5847" s="2" t="s">
        <v>5302</v>
      </c>
      <c r="B5847" s="2" t="s">
        <v>5302</v>
      </c>
      <c r="C5847" s="2" t="s">
        <v>5375</v>
      </c>
      <c r="D5847" s="3" t="str">
        <f t="shared" ref="D5847:D5848" si="1002">HYPERLINK("https://12go.asia/en/travel/Bodrum-Hotel-Transfer/Bodrum-Milas-Airport", "12Go Link")</f>
        <v>12Go Link</v>
      </c>
      <c r="E5847" s="2" t="s">
        <v>5304</v>
      </c>
    </row>
    <row r="5848">
      <c r="A5848" s="2" t="s">
        <v>5302</v>
      </c>
      <c r="B5848" s="2" t="s">
        <v>5302</v>
      </c>
      <c r="C5848" s="2" t="s">
        <v>5375</v>
      </c>
      <c r="D5848" s="3" t="str">
        <f t="shared" si="1002"/>
        <v>12Go Link</v>
      </c>
      <c r="E5848" s="2" t="s">
        <v>5305</v>
      </c>
    </row>
    <row r="5849">
      <c r="A5849" s="2" t="s">
        <v>5302</v>
      </c>
      <c r="B5849" s="2" t="s">
        <v>5302</v>
      </c>
      <c r="C5849" s="2" t="s">
        <v>5376</v>
      </c>
      <c r="D5849" s="3" t="str">
        <f t="shared" ref="D5849:D5850" si="1003">HYPERLINK("https://12go.asia/en/travel/Bodrum-Milas-Airport/Bodrum-Hotel-Transfer", "12Go Link")</f>
        <v>12Go Link</v>
      </c>
      <c r="E5849" s="2" t="s">
        <v>5304</v>
      </c>
    </row>
    <row r="5850">
      <c r="A5850" s="2" t="s">
        <v>5302</v>
      </c>
      <c r="B5850" s="2" t="s">
        <v>5302</v>
      </c>
      <c r="C5850" s="2" t="s">
        <v>5376</v>
      </c>
      <c r="D5850" s="3" t="str">
        <f t="shared" si="1003"/>
        <v>12Go Link</v>
      </c>
      <c r="E5850" s="2" t="s">
        <v>5305</v>
      </c>
    </row>
    <row r="5851">
      <c r="A5851" s="2" t="s">
        <v>5302</v>
      </c>
      <c r="B5851" s="2" t="s">
        <v>5302</v>
      </c>
      <c r="C5851" s="2" t="s">
        <v>5377</v>
      </c>
      <c r="D5851" s="3" t="str">
        <f t="shared" ref="D5851:D5852" si="1004">HYPERLINK("https://12go.asia/en/travel/Bodrum-Milas-Airport/Turkbuku-Hotel-Transfer", "12Go Link")</f>
        <v>12Go Link</v>
      </c>
      <c r="E5851" s="2" t="s">
        <v>5304</v>
      </c>
    </row>
    <row r="5852">
      <c r="A5852" s="2" t="s">
        <v>5302</v>
      </c>
      <c r="B5852" s="2" t="s">
        <v>5302</v>
      </c>
      <c r="C5852" s="2" t="s">
        <v>5377</v>
      </c>
      <c r="D5852" s="3" t="str">
        <f t="shared" si="1004"/>
        <v>12Go Link</v>
      </c>
      <c r="E5852" s="2" t="s">
        <v>5305</v>
      </c>
    </row>
    <row r="5853">
      <c r="A5853" s="2" t="s">
        <v>5302</v>
      </c>
      <c r="B5853" s="2" t="s">
        <v>5302</v>
      </c>
      <c r="C5853" s="2" t="s">
        <v>5378</v>
      </c>
      <c r="D5853" s="3" t="str">
        <f t="shared" ref="D5853:D5854" si="1005">HYPERLINK("https://12go.asia/en/travel/Bodrum-Milas-Airport/Yahsi-Hotel-Transfer", "12Go Link")</f>
        <v>12Go Link</v>
      </c>
      <c r="E5853" s="2" t="s">
        <v>5304</v>
      </c>
    </row>
    <row r="5854">
      <c r="A5854" s="2" t="s">
        <v>5302</v>
      </c>
      <c r="B5854" s="2" t="s">
        <v>5302</v>
      </c>
      <c r="C5854" s="2" t="s">
        <v>5378</v>
      </c>
      <c r="D5854" s="3" t="str">
        <f t="shared" si="1005"/>
        <v>12Go Link</v>
      </c>
      <c r="E5854" s="2" t="s">
        <v>5305</v>
      </c>
    </row>
    <row r="5855">
      <c r="A5855" s="2" t="s">
        <v>5302</v>
      </c>
      <c r="B5855" s="2" t="s">
        <v>5302</v>
      </c>
      <c r="C5855" s="2" t="s">
        <v>5379</v>
      </c>
      <c r="D5855" s="3" t="str">
        <f t="shared" ref="D5855:D5856" si="1006">HYPERLINK("https://12go.asia/en/travel/Turkbuku-Hotel-Transfer/Bodrum-Milas-Airport", "12Go Link")</f>
        <v>12Go Link</v>
      </c>
      <c r="E5855" s="2" t="s">
        <v>5304</v>
      </c>
    </row>
    <row r="5856">
      <c r="A5856" s="2" t="s">
        <v>5302</v>
      </c>
      <c r="B5856" s="2" t="s">
        <v>5302</v>
      </c>
      <c r="C5856" s="2" t="s">
        <v>5379</v>
      </c>
      <c r="D5856" s="3" t="str">
        <f t="shared" si="1006"/>
        <v>12Go Link</v>
      </c>
      <c r="E5856" s="2" t="s">
        <v>5305</v>
      </c>
    </row>
    <row r="5857">
      <c r="A5857" s="2" t="s">
        <v>5302</v>
      </c>
      <c r="B5857" s="2" t="s">
        <v>5302</v>
      </c>
      <c r="C5857" s="2" t="s">
        <v>5380</v>
      </c>
      <c r="D5857" s="3" t="str">
        <f t="shared" ref="D5857:D5858" si="1007">HYPERLINK("https://12go.asia/en/travel/Yahsi-Hotel-Transfer/Bodrum-Milas-Airport", "12Go Link")</f>
        <v>12Go Link</v>
      </c>
      <c r="E5857" s="2" t="s">
        <v>5304</v>
      </c>
    </row>
    <row r="5858">
      <c r="A5858" s="2" t="s">
        <v>5302</v>
      </c>
      <c r="B5858" s="2" t="s">
        <v>5302</v>
      </c>
      <c r="C5858" s="2" t="s">
        <v>5380</v>
      </c>
      <c r="D5858" s="3" t="str">
        <f t="shared" si="1007"/>
        <v>12Go Link</v>
      </c>
      <c r="E5858" s="2" t="s">
        <v>5305</v>
      </c>
    </row>
    <row r="5859">
      <c r="A5859" s="2" t="s">
        <v>5302</v>
      </c>
      <c r="B5859" s="2" t="s">
        <v>5381</v>
      </c>
      <c r="C5859" s="2" t="s">
        <v>5382</v>
      </c>
      <c r="D5859" s="3" t="str">
        <f t="shared" ref="D5859:D5860" si="1008">HYPERLINK("https://12go.asia/en/travel/Bodrum-Hotel-Transfer/Dalaman-Airport", "12Go Link")</f>
        <v>12Go Link</v>
      </c>
      <c r="E5859" s="2" t="s">
        <v>5304</v>
      </c>
    </row>
    <row r="5860">
      <c r="A5860" s="2" t="s">
        <v>5302</v>
      </c>
      <c r="B5860" s="2" t="s">
        <v>5381</v>
      </c>
      <c r="C5860" s="2" t="s">
        <v>5382</v>
      </c>
      <c r="D5860" s="3" t="str">
        <f t="shared" si="1008"/>
        <v>12Go Link</v>
      </c>
      <c r="E5860" s="2" t="s">
        <v>5305</v>
      </c>
    </row>
    <row r="5861">
      <c r="A5861" s="2" t="s">
        <v>5302</v>
      </c>
      <c r="B5861" s="2" t="s">
        <v>5383</v>
      </c>
      <c r="C5861" s="2" t="s">
        <v>5384</v>
      </c>
      <c r="D5861" s="3" t="str">
        <f t="shared" ref="D5861:D5862" si="1009">HYPERLINK("https://12go.asia/en/travel/Bodrum-Milas-Airport/Didim-Hotel-Transfer", "12Go Link")</f>
        <v>12Go Link</v>
      </c>
      <c r="E5861" s="2" t="s">
        <v>5304</v>
      </c>
    </row>
    <row r="5862">
      <c r="A5862" s="2" t="s">
        <v>5302</v>
      </c>
      <c r="B5862" s="2" t="s">
        <v>5383</v>
      </c>
      <c r="C5862" s="2" t="s">
        <v>5384</v>
      </c>
      <c r="D5862" s="3" t="str">
        <f t="shared" si="1009"/>
        <v>12Go Link</v>
      </c>
      <c r="E5862" s="2" t="s">
        <v>5305</v>
      </c>
    </row>
    <row r="5863">
      <c r="A5863" s="2" t="s">
        <v>5302</v>
      </c>
      <c r="B5863" s="2" t="s">
        <v>5385</v>
      </c>
      <c r="C5863" s="2" t="s">
        <v>5386</v>
      </c>
      <c r="D5863" s="3" t="str">
        <f t="shared" ref="D5863:D5864" si="1010">HYPERLINK("https://12go.asia/en/travel/Bodrum-Milas-Airport/Gumbet-Hotel-Transfer", "12Go Link")</f>
        <v>12Go Link</v>
      </c>
      <c r="E5863" s="2" t="s">
        <v>5304</v>
      </c>
    </row>
    <row r="5864">
      <c r="A5864" s="2" t="s">
        <v>5302</v>
      </c>
      <c r="B5864" s="2" t="s">
        <v>5385</v>
      </c>
      <c r="C5864" s="2" t="s">
        <v>5386</v>
      </c>
      <c r="D5864" s="3" t="str">
        <f t="shared" si="1010"/>
        <v>12Go Link</v>
      </c>
      <c r="E5864" s="2" t="s">
        <v>5305</v>
      </c>
    </row>
    <row r="5865">
      <c r="A5865" s="2" t="s">
        <v>5302</v>
      </c>
      <c r="B5865" s="2" t="s">
        <v>5387</v>
      </c>
      <c r="C5865" s="2" t="s">
        <v>5388</v>
      </c>
      <c r="D5865" s="3" t="str">
        <f t="shared" ref="D5865:D5866" si="1011">HYPERLINK("https://12go.asia/en/travel/Bodrum-Milas-Airport/Gumusluk-Hotel-Transfer", "12Go Link")</f>
        <v>12Go Link</v>
      </c>
      <c r="E5865" s="2" t="s">
        <v>5304</v>
      </c>
    </row>
    <row r="5866">
      <c r="A5866" s="2" t="s">
        <v>5302</v>
      </c>
      <c r="B5866" s="2" t="s">
        <v>5387</v>
      </c>
      <c r="C5866" s="2" t="s">
        <v>5388</v>
      </c>
      <c r="D5866" s="3" t="str">
        <f t="shared" si="1011"/>
        <v>12Go Link</v>
      </c>
      <c r="E5866" s="2" t="s">
        <v>5305</v>
      </c>
    </row>
    <row r="5867">
      <c r="A5867" s="2" t="s">
        <v>5302</v>
      </c>
      <c r="B5867" s="2" t="s">
        <v>5389</v>
      </c>
      <c r="C5867" s="2" t="s">
        <v>5390</v>
      </c>
      <c r="D5867" s="3" t="str">
        <f t="shared" ref="D5867:D5868" si="1012">HYPERLINK("https://12go.asia/en/travel/Bodrum-Milas-Airport/Gundogan-Hotel-Transfer", "12Go Link")</f>
        <v>12Go Link</v>
      </c>
      <c r="E5867" s="2" t="s">
        <v>5304</v>
      </c>
    </row>
    <row r="5868">
      <c r="A5868" s="2" t="s">
        <v>5302</v>
      </c>
      <c r="B5868" s="2" t="s">
        <v>5389</v>
      </c>
      <c r="C5868" s="2" t="s">
        <v>5390</v>
      </c>
      <c r="D5868" s="3" t="str">
        <f t="shared" si="1012"/>
        <v>12Go Link</v>
      </c>
      <c r="E5868" s="2" t="s">
        <v>5305</v>
      </c>
    </row>
    <row r="5869">
      <c r="A5869" s="2" t="s">
        <v>5302</v>
      </c>
      <c r="B5869" s="2" t="s">
        <v>5391</v>
      </c>
      <c r="C5869" s="2" t="s">
        <v>5392</v>
      </c>
      <c r="D5869" s="3" t="str">
        <f t="shared" ref="D5869:D5870" si="1013">HYPERLINK("https://12go.asia/en/travel/Bodrum-Milas-Airport/Guvercinlik-Hotel-Transfer", "12Go Link")</f>
        <v>12Go Link</v>
      </c>
      <c r="E5869" s="2" t="s">
        <v>5304</v>
      </c>
    </row>
    <row r="5870">
      <c r="A5870" s="2" t="s">
        <v>5302</v>
      </c>
      <c r="B5870" s="2" t="s">
        <v>5391</v>
      </c>
      <c r="C5870" s="2" t="s">
        <v>5392</v>
      </c>
      <c r="D5870" s="3" t="str">
        <f t="shared" si="1013"/>
        <v>12Go Link</v>
      </c>
      <c r="E5870" s="2" t="s">
        <v>5305</v>
      </c>
    </row>
    <row r="5871">
      <c r="A5871" s="2" t="s">
        <v>5302</v>
      </c>
      <c r="B5871" s="2" t="s">
        <v>5393</v>
      </c>
      <c r="C5871" s="2" t="s">
        <v>5394</v>
      </c>
      <c r="D5871" s="3" t="str">
        <f t="shared" ref="D5871:D5872" si="1014">HYPERLINK("https://12go.asia/en/travel/Bodrum-Milas-Airport/Marmaris-Hotel-Transfer", "12Go Link")</f>
        <v>12Go Link</v>
      </c>
      <c r="E5871" s="2" t="s">
        <v>5304</v>
      </c>
    </row>
    <row r="5872">
      <c r="A5872" s="2" t="s">
        <v>5302</v>
      </c>
      <c r="B5872" s="2" t="s">
        <v>5393</v>
      </c>
      <c r="C5872" s="2" t="s">
        <v>5394</v>
      </c>
      <c r="D5872" s="3" t="str">
        <f t="shared" si="1014"/>
        <v>12Go Link</v>
      </c>
      <c r="E5872" s="2" t="s">
        <v>5305</v>
      </c>
    </row>
    <row r="5873">
      <c r="A5873" s="2" t="s">
        <v>5302</v>
      </c>
      <c r="B5873" s="2" t="s">
        <v>5395</v>
      </c>
      <c r="C5873" s="2" t="s">
        <v>5396</v>
      </c>
      <c r="D5873" s="3" t="str">
        <f t="shared" ref="D5873:D5874" si="1015">HYPERLINK("https://12go.asia/en/travel/Bodrum-Milas-Airport/Adabuku-Hotel-Transfer", "12Go Link")</f>
        <v>12Go Link</v>
      </c>
      <c r="E5873" s="2" t="s">
        <v>5304</v>
      </c>
    </row>
    <row r="5874">
      <c r="A5874" s="2" t="s">
        <v>5302</v>
      </c>
      <c r="B5874" s="2" t="s">
        <v>5395</v>
      </c>
      <c r="C5874" s="2" t="s">
        <v>5396</v>
      </c>
      <c r="D5874" s="3" t="str">
        <f t="shared" si="1015"/>
        <v>12Go Link</v>
      </c>
      <c r="E5874" s="2" t="s">
        <v>5305</v>
      </c>
    </row>
    <row r="5875">
      <c r="A5875" s="2" t="s">
        <v>5302</v>
      </c>
      <c r="B5875" s="2" t="s">
        <v>5395</v>
      </c>
      <c r="C5875" s="2" t="s">
        <v>5397</v>
      </c>
      <c r="D5875" s="3" t="str">
        <f t="shared" ref="D5875:D5876" si="1016">HYPERLINK("https://12go.asia/en/travel/Bodrum-Milas-Airport/Kaplankaya-Hotel-Transfer", "12Go Link")</f>
        <v>12Go Link</v>
      </c>
      <c r="E5875" s="2" t="s">
        <v>5304</v>
      </c>
    </row>
    <row r="5876">
      <c r="A5876" s="2" t="s">
        <v>5302</v>
      </c>
      <c r="B5876" s="2" t="s">
        <v>5395</v>
      </c>
      <c r="C5876" s="2" t="s">
        <v>5397</v>
      </c>
      <c r="D5876" s="3" t="str">
        <f t="shared" si="1016"/>
        <v>12Go Link</v>
      </c>
      <c r="E5876" s="2" t="s">
        <v>5305</v>
      </c>
    </row>
    <row r="5877">
      <c r="A5877" s="2" t="s">
        <v>5302</v>
      </c>
      <c r="B5877" s="2" t="s">
        <v>5398</v>
      </c>
      <c r="C5877" s="2" t="s">
        <v>5399</v>
      </c>
      <c r="D5877" s="3" t="str">
        <f t="shared" ref="D5877:D5878" si="1017">HYPERLINK("https://12go.asia/en/travel/Bodrum-Milas-Airport/Torba-Hotel-Transfer", "12Go Link")</f>
        <v>12Go Link</v>
      </c>
      <c r="E5877" s="2" t="s">
        <v>5304</v>
      </c>
    </row>
    <row r="5878">
      <c r="A5878" s="2" t="s">
        <v>5302</v>
      </c>
      <c r="B5878" s="2" t="s">
        <v>5398</v>
      </c>
      <c r="C5878" s="2" t="s">
        <v>5399</v>
      </c>
      <c r="D5878" s="3" t="str">
        <f t="shared" si="1017"/>
        <v>12Go Link</v>
      </c>
      <c r="E5878" s="2" t="s">
        <v>5305</v>
      </c>
    </row>
    <row r="5879">
      <c r="A5879" s="2" t="s">
        <v>5302</v>
      </c>
      <c r="B5879" s="2" t="s">
        <v>5400</v>
      </c>
      <c r="C5879" s="2" t="s">
        <v>5401</v>
      </c>
      <c r="D5879" s="3" t="str">
        <f t="shared" ref="D5879:D5880" si="1018">HYPERLINK("https://12go.asia/en/travel/Bodrum-Milas-Airport/Turgutkoy-Hotel-Transfer", "12Go Link")</f>
        <v>12Go Link</v>
      </c>
      <c r="E5879" s="2" t="s">
        <v>5304</v>
      </c>
    </row>
    <row r="5880">
      <c r="A5880" s="2" t="s">
        <v>5302</v>
      </c>
      <c r="B5880" s="2" t="s">
        <v>5400</v>
      </c>
      <c r="C5880" s="2" t="s">
        <v>5401</v>
      </c>
      <c r="D5880" s="3" t="str">
        <f t="shared" si="1018"/>
        <v>12Go Link</v>
      </c>
      <c r="E5880" s="2" t="s">
        <v>5305</v>
      </c>
    </row>
    <row r="5881">
      <c r="A5881" s="2" t="s">
        <v>5302</v>
      </c>
      <c r="B5881" s="2" t="s">
        <v>5402</v>
      </c>
      <c r="C5881" s="2" t="s">
        <v>5403</v>
      </c>
      <c r="D5881" s="3" t="str">
        <f t="shared" ref="D5881:D5882" si="1019">HYPERLINK("https://12go.asia/en/travel/Bodrum-Milas-Airport/Turgutreis-Hotel-Transfer", "12Go Link")</f>
        <v>12Go Link</v>
      </c>
      <c r="E5881" s="2" t="s">
        <v>5304</v>
      </c>
    </row>
    <row r="5882">
      <c r="A5882" s="2" t="s">
        <v>5302</v>
      </c>
      <c r="B5882" s="2" t="s">
        <v>5402</v>
      </c>
      <c r="C5882" s="2" t="s">
        <v>5403</v>
      </c>
      <c r="D5882" s="3" t="str">
        <f t="shared" si="1019"/>
        <v>12Go Link</v>
      </c>
      <c r="E5882" s="2" t="s">
        <v>5305</v>
      </c>
    </row>
    <row r="5883">
      <c r="A5883" s="2" t="s">
        <v>5302</v>
      </c>
      <c r="B5883" s="2" t="s">
        <v>5404</v>
      </c>
      <c r="C5883" s="2" t="s">
        <v>5405</v>
      </c>
      <c r="D5883" s="3" t="str">
        <f t="shared" ref="D5883:D5884" si="1020">HYPERLINK("https://12go.asia/en/travel/Bodrum-Milas-Airport/Yalikavak-Hotel-Transfer", "12Go Link")</f>
        <v>12Go Link</v>
      </c>
      <c r="E5883" s="2" t="s">
        <v>5304</v>
      </c>
    </row>
    <row r="5884">
      <c r="A5884" s="2" t="s">
        <v>5302</v>
      </c>
      <c r="B5884" s="2" t="s">
        <v>5404</v>
      </c>
      <c r="C5884" s="2" t="s">
        <v>5405</v>
      </c>
      <c r="D5884" s="3" t="str">
        <f t="shared" si="1020"/>
        <v>12Go Link</v>
      </c>
      <c r="E5884" s="2" t="s">
        <v>5305</v>
      </c>
    </row>
    <row r="5885">
      <c r="A5885" s="2" t="s">
        <v>5406</v>
      </c>
      <c r="B5885" s="2" t="s">
        <v>5307</v>
      </c>
      <c r="C5885" s="2" t="s">
        <v>5407</v>
      </c>
      <c r="D5885" s="3" t="str">
        <f t="shared" ref="D5885:D5886" si="1021">HYPERLINK("https://12go.asia/en/travel/Burhaniye-Hotel-Transfer/Adnan-Menderes-Airport", "12Go Link")</f>
        <v>12Go Link</v>
      </c>
      <c r="E5885" s="2" t="s">
        <v>5304</v>
      </c>
    </row>
    <row r="5886">
      <c r="A5886" s="2" t="s">
        <v>5406</v>
      </c>
      <c r="B5886" s="2" t="s">
        <v>5307</v>
      </c>
      <c r="C5886" s="2" t="s">
        <v>5407</v>
      </c>
      <c r="D5886" s="3" t="str">
        <f t="shared" si="1021"/>
        <v>12Go Link</v>
      </c>
      <c r="E5886" s="2" t="s">
        <v>5305</v>
      </c>
    </row>
    <row r="5887">
      <c r="A5887" s="2" t="s">
        <v>5408</v>
      </c>
      <c r="B5887" s="2" t="s">
        <v>5307</v>
      </c>
      <c r="C5887" s="2" t="s">
        <v>5409</v>
      </c>
      <c r="D5887" s="3" t="str">
        <f t="shared" ref="D5887:D5888" si="1022">HYPERLINK("https://12go.asia/en/travel/Candarli-Hotel-Transfer/Adnan-Menderes-Airport", "12Go Link")</f>
        <v>12Go Link</v>
      </c>
      <c r="E5887" s="2" t="s">
        <v>5304</v>
      </c>
    </row>
    <row r="5888">
      <c r="A5888" s="2" t="s">
        <v>5408</v>
      </c>
      <c r="B5888" s="2" t="s">
        <v>5307</v>
      </c>
      <c r="C5888" s="2" t="s">
        <v>5409</v>
      </c>
      <c r="D5888" s="3" t="str">
        <f t="shared" si="1022"/>
        <v>12Go Link</v>
      </c>
      <c r="E5888" s="2" t="s">
        <v>5305</v>
      </c>
    </row>
    <row r="5889">
      <c r="A5889" s="2" t="s">
        <v>5314</v>
      </c>
      <c r="B5889" s="2" t="s">
        <v>5309</v>
      </c>
      <c r="C5889" s="2" t="s">
        <v>5410</v>
      </c>
      <c r="D5889" s="3" t="str">
        <f t="shared" ref="D5889:D5890" si="1023">HYPERLINK("https://12go.asia/en/travel/Cenger-Hotel-Transfer/Gazipasa-Alanya-Airport", "12Go Link")</f>
        <v>12Go Link</v>
      </c>
      <c r="E5889" s="2" t="s">
        <v>5304</v>
      </c>
    </row>
    <row r="5890">
      <c r="A5890" s="2" t="s">
        <v>5314</v>
      </c>
      <c r="B5890" s="2" t="s">
        <v>5309</v>
      </c>
      <c r="C5890" s="2" t="s">
        <v>5410</v>
      </c>
      <c r="D5890" s="3" t="str">
        <f t="shared" si="1023"/>
        <v>12Go Link</v>
      </c>
      <c r="E5890" s="2" t="s">
        <v>5305</v>
      </c>
    </row>
    <row r="5891">
      <c r="A5891" s="2" t="s">
        <v>5314</v>
      </c>
      <c r="B5891" s="2" t="s">
        <v>5346</v>
      </c>
      <c r="C5891" s="2" t="s">
        <v>5411</v>
      </c>
      <c r="D5891" s="3" t="str">
        <f t="shared" ref="D5891:D5892" si="1024">HYPERLINK("https://12go.asia/en/travel/Cenger-Hotel-Transfer/Antalya-Airport", "12Go Link")</f>
        <v>12Go Link</v>
      </c>
      <c r="E5891" s="2" t="s">
        <v>5304</v>
      </c>
    </row>
    <row r="5892">
      <c r="A5892" s="2" t="s">
        <v>5314</v>
      </c>
      <c r="B5892" s="2" t="s">
        <v>5346</v>
      </c>
      <c r="C5892" s="2" t="s">
        <v>5411</v>
      </c>
      <c r="D5892" s="3" t="str">
        <f t="shared" si="1024"/>
        <v>12Go Link</v>
      </c>
      <c r="E5892" s="2" t="s">
        <v>5305</v>
      </c>
    </row>
    <row r="5893">
      <c r="A5893" s="2" t="s">
        <v>5412</v>
      </c>
      <c r="B5893" s="2" t="s">
        <v>5307</v>
      </c>
      <c r="C5893" s="2" t="s">
        <v>5413</v>
      </c>
      <c r="D5893" s="3" t="str">
        <f t="shared" ref="D5893:D5894" si="1025">HYPERLINK("https://12go.asia/en/travel/Cesme-Hotel-Transfer/Adnan-Menderes-Airport", "12Go Link")</f>
        <v>12Go Link</v>
      </c>
      <c r="E5893" s="2" t="s">
        <v>5304</v>
      </c>
    </row>
    <row r="5894">
      <c r="A5894" s="2" t="s">
        <v>5412</v>
      </c>
      <c r="B5894" s="2" t="s">
        <v>5307</v>
      </c>
      <c r="C5894" s="2" t="s">
        <v>5413</v>
      </c>
      <c r="D5894" s="3" t="str">
        <f t="shared" si="1025"/>
        <v>12Go Link</v>
      </c>
      <c r="E5894" s="2" t="s">
        <v>5305</v>
      </c>
    </row>
    <row r="5895">
      <c r="A5895" s="2" t="s">
        <v>5381</v>
      </c>
      <c r="B5895" s="2" t="s">
        <v>5302</v>
      </c>
      <c r="C5895" s="2" t="s">
        <v>5414</v>
      </c>
      <c r="D5895" s="3" t="str">
        <f t="shared" ref="D5895:D5896" si="1026">HYPERLINK("https://12go.asia/en/travel/Dalaman-Airport/Bodrum-Hotel-Transfer", "12Go Link")</f>
        <v>12Go Link</v>
      </c>
      <c r="E5895" s="2" t="s">
        <v>5304</v>
      </c>
    </row>
    <row r="5896">
      <c r="A5896" s="2" t="s">
        <v>5381</v>
      </c>
      <c r="B5896" s="2" t="s">
        <v>5302</v>
      </c>
      <c r="C5896" s="2" t="s">
        <v>5414</v>
      </c>
      <c r="D5896" s="3" t="str">
        <f t="shared" si="1026"/>
        <v>12Go Link</v>
      </c>
      <c r="E5896" s="2" t="s">
        <v>5305</v>
      </c>
    </row>
    <row r="5897">
      <c r="A5897" s="2" t="s">
        <v>5381</v>
      </c>
      <c r="B5897" s="2" t="s">
        <v>5415</v>
      </c>
      <c r="C5897" s="2" t="s">
        <v>5416</v>
      </c>
      <c r="D5897" s="3" t="str">
        <f t="shared" ref="D5897:D5898" si="1027">HYPERLINK("https://12go.asia/en/travel/Dalaman-Airport/Ortaca-Hotel-Transfer", "12Go Link")</f>
        <v>12Go Link</v>
      </c>
      <c r="E5897" s="2" t="s">
        <v>5304</v>
      </c>
    </row>
    <row r="5898">
      <c r="A5898" s="2" t="s">
        <v>5381</v>
      </c>
      <c r="B5898" s="2" t="s">
        <v>5415</v>
      </c>
      <c r="C5898" s="2" t="s">
        <v>5416</v>
      </c>
      <c r="D5898" s="3" t="str">
        <f t="shared" si="1027"/>
        <v>12Go Link</v>
      </c>
      <c r="E5898" s="2" t="s">
        <v>5305</v>
      </c>
    </row>
    <row r="5899">
      <c r="A5899" s="2" t="s">
        <v>5417</v>
      </c>
      <c r="B5899" s="2" t="s">
        <v>5307</v>
      </c>
      <c r="C5899" s="2" t="s">
        <v>5418</v>
      </c>
      <c r="D5899" s="3" t="str">
        <f t="shared" ref="D5899:D5900" si="1028">HYPERLINK("https://12go.asia/en/travel/Dalyan-Hotel-Transfer/Adnan-Menderes-Airport", "12Go Link")</f>
        <v>12Go Link</v>
      </c>
      <c r="E5899" s="2" t="s">
        <v>5304</v>
      </c>
    </row>
    <row r="5900">
      <c r="A5900" s="2" t="s">
        <v>5417</v>
      </c>
      <c r="B5900" s="2" t="s">
        <v>5307</v>
      </c>
      <c r="C5900" s="2" t="s">
        <v>5418</v>
      </c>
      <c r="D5900" s="3" t="str">
        <f t="shared" si="1028"/>
        <v>12Go Link</v>
      </c>
      <c r="E5900" s="2" t="s">
        <v>5305</v>
      </c>
    </row>
    <row r="5901">
      <c r="A5901" s="2" t="s">
        <v>5419</v>
      </c>
      <c r="B5901" s="2" t="s">
        <v>5307</v>
      </c>
      <c r="C5901" s="2" t="s">
        <v>5420</v>
      </c>
      <c r="D5901" s="3" t="str">
        <f t="shared" ref="D5901:D5902" si="1029">HYPERLINK("https://12go.asia/en/travel/Davutlar-Hotel-Transfer/Adnan-Menderes-Airport", "12Go Link")</f>
        <v>12Go Link</v>
      </c>
      <c r="E5901" s="2" t="s">
        <v>5304</v>
      </c>
    </row>
    <row r="5902">
      <c r="A5902" s="2" t="s">
        <v>5419</v>
      </c>
      <c r="B5902" s="2" t="s">
        <v>5307</v>
      </c>
      <c r="C5902" s="2" t="s">
        <v>5420</v>
      </c>
      <c r="D5902" s="3" t="str">
        <f t="shared" si="1029"/>
        <v>12Go Link</v>
      </c>
      <c r="E5902" s="2" t="s">
        <v>5305</v>
      </c>
    </row>
    <row r="5903">
      <c r="A5903" s="2" t="s">
        <v>5383</v>
      </c>
      <c r="B5903" s="2" t="s">
        <v>5302</v>
      </c>
      <c r="C5903" s="2" t="s">
        <v>5421</v>
      </c>
      <c r="D5903" s="3" t="str">
        <f t="shared" ref="D5903:D5904" si="1030">HYPERLINK("https://12go.asia/en/travel/Didim-Hotel-Transfer/Bodrum-Milas-Airport", "12Go Link")</f>
        <v>12Go Link</v>
      </c>
      <c r="E5903" s="2" t="s">
        <v>5304</v>
      </c>
    </row>
    <row r="5904">
      <c r="A5904" s="2" t="s">
        <v>5383</v>
      </c>
      <c r="B5904" s="2" t="s">
        <v>5302</v>
      </c>
      <c r="C5904" s="2" t="s">
        <v>5421</v>
      </c>
      <c r="D5904" s="3" t="str">
        <f t="shared" si="1030"/>
        <v>12Go Link</v>
      </c>
      <c r="E5904" s="2" t="s">
        <v>5305</v>
      </c>
    </row>
    <row r="5905">
      <c r="A5905" s="2" t="s">
        <v>5383</v>
      </c>
      <c r="B5905" s="2" t="s">
        <v>5307</v>
      </c>
      <c r="C5905" s="2" t="s">
        <v>5422</v>
      </c>
      <c r="D5905" s="3" t="str">
        <f t="shared" ref="D5905:D5906" si="1031">HYPERLINK("https://12go.asia/en/travel/Didim-Hotel-Transfer/Adnan-Menderes-Airport", "12Go Link")</f>
        <v>12Go Link</v>
      </c>
      <c r="E5905" s="2" t="s">
        <v>5304</v>
      </c>
    </row>
    <row r="5906">
      <c r="A5906" s="2" t="s">
        <v>5383</v>
      </c>
      <c r="B5906" s="2" t="s">
        <v>5307</v>
      </c>
      <c r="C5906" s="2" t="s">
        <v>5422</v>
      </c>
      <c r="D5906" s="3" t="str">
        <f t="shared" si="1031"/>
        <v>12Go Link</v>
      </c>
      <c r="E5906" s="2" t="s">
        <v>5305</v>
      </c>
    </row>
    <row r="5907">
      <c r="A5907" s="2" t="s">
        <v>5423</v>
      </c>
      <c r="B5907" s="2" t="s">
        <v>5307</v>
      </c>
      <c r="C5907" s="2" t="s">
        <v>5424</v>
      </c>
      <c r="D5907" s="3" t="str">
        <f t="shared" ref="D5907:D5908" si="1032">HYPERLINK("https://12go.asia/en/travel/Dikili-Hotel-Transfer/Adnan-Menderes-Airport", "12Go Link")</f>
        <v>12Go Link</v>
      </c>
      <c r="E5907" s="2" t="s">
        <v>5304</v>
      </c>
    </row>
    <row r="5908">
      <c r="A5908" s="2" t="s">
        <v>5423</v>
      </c>
      <c r="B5908" s="2" t="s">
        <v>5307</v>
      </c>
      <c r="C5908" s="2" t="s">
        <v>5424</v>
      </c>
      <c r="D5908" s="3" t="str">
        <f t="shared" si="1032"/>
        <v>12Go Link</v>
      </c>
      <c r="E5908" s="2" t="s">
        <v>5305</v>
      </c>
    </row>
    <row r="5909">
      <c r="A5909" s="2" t="s">
        <v>5425</v>
      </c>
      <c r="B5909" s="2" t="s">
        <v>5307</v>
      </c>
      <c r="C5909" s="2" t="s">
        <v>5426</v>
      </c>
      <c r="D5909" s="3" t="str">
        <f t="shared" ref="D5909:D5910" si="1033">HYPERLINK("https://12go.asia/en/travel/Edremit-Hotel-Transfer/Adnan-Menderes-Airport", "12Go Link")</f>
        <v>12Go Link</v>
      </c>
      <c r="E5909" s="2" t="s">
        <v>5304</v>
      </c>
    </row>
    <row r="5910">
      <c r="A5910" s="2" t="s">
        <v>5425</v>
      </c>
      <c r="B5910" s="2" t="s">
        <v>5307</v>
      </c>
      <c r="C5910" s="2" t="s">
        <v>5426</v>
      </c>
      <c r="D5910" s="3" t="str">
        <f t="shared" si="1033"/>
        <v>12Go Link</v>
      </c>
      <c r="E5910" s="2" t="s">
        <v>5305</v>
      </c>
    </row>
    <row r="5911">
      <c r="A5911" s="2" t="s">
        <v>5427</v>
      </c>
      <c r="B5911" s="2" t="s">
        <v>5307</v>
      </c>
      <c r="C5911" s="2" t="s">
        <v>5428</v>
      </c>
      <c r="D5911" s="3" t="str">
        <f t="shared" ref="D5911:D5912" si="1034">HYPERLINK("https://12go.asia/en/travel/Ciftlik-Hotel-Transfer/Adnan-Menderes-Airport", "12Go Link")</f>
        <v>12Go Link</v>
      </c>
      <c r="E5911" s="2" t="s">
        <v>5304</v>
      </c>
    </row>
    <row r="5912">
      <c r="A5912" s="2" t="s">
        <v>5427</v>
      </c>
      <c r="B5912" s="2" t="s">
        <v>5307</v>
      </c>
      <c r="C5912" s="2" t="s">
        <v>5428</v>
      </c>
      <c r="D5912" s="3" t="str">
        <f t="shared" si="1034"/>
        <v>12Go Link</v>
      </c>
      <c r="E5912" s="2" t="s">
        <v>5305</v>
      </c>
    </row>
    <row r="5913">
      <c r="A5913" s="2" t="s">
        <v>5429</v>
      </c>
      <c r="B5913" s="2" t="s">
        <v>5307</v>
      </c>
      <c r="C5913" s="2" t="s">
        <v>5430</v>
      </c>
      <c r="D5913" s="3" t="str">
        <f t="shared" ref="D5913:D5914" si="1035">HYPERLINK("https://12go.asia/en/travel/Foca-Hotel-Transfer/Adnan-Menderes-Airport", "12Go Link")</f>
        <v>12Go Link</v>
      </c>
      <c r="E5913" s="2" t="s">
        <v>5304</v>
      </c>
    </row>
    <row r="5914">
      <c r="A5914" s="2" t="s">
        <v>5429</v>
      </c>
      <c r="B5914" s="2" t="s">
        <v>5307</v>
      </c>
      <c r="C5914" s="2" t="s">
        <v>5430</v>
      </c>
      <c r="D5914" s="3" t="str">
        <f t="shared" si="1035"/>
        <v>12Go Link</v>
      </c>
      <c r="E5914" s="2" t="s">
        <v>5305</v>
      </c>
    </row>
    <row r="5915">
      <c r="A5915" s="2" t="s">
        <v>5385</v>
      </c>
      <c r="B5915" s="2" t="s">
        <v>5302</v>
      </c>
      <c r="C5915" s="2" t="s">
        <v>5431</v>
      </c>
      <c r="D5915" s="3" t="str">
        <f t="shared" ref="D5915:D5916" si="1036">HYPERLINK("https://12go.asia/en/travel/Gumbet-Hotel-Transfer/Bodrum-Milas-Airport", "12Go Link")</f>
        <v>12Go Link</v>
      </c>
      <c r="E5915" s="2" t="s">
        <v>5304</v>
      </c>
    </row>
    <row r="5916">
      <c r="A5916" s="2" t="s">
        <v>5385</v>
      </c>
      <c r="B5916" s="2" t="s">
        <v>5302</v>
      </c>
      <c r="C5916" s="2" t="s">
        <v>5431</v>
      </c>
      <c r="D5916" s="3" t="str">
        <f t="shared" si="1036"/>
        <v>12Go Link</v>
      </c>
      <c r="E5916" s="2" t="s">
        <v>5305</v>
      </c>
    </row>
    <row r="5917">
      <c r="A5917" s="2" t="s">
        <v>5432</v>
      </c>
      <c r="B5917" s="2" t="s">
        <v>5307</v>
      </c>
      <c r="C5917" s="2" t="s">
        <v>5433</v>
      </c>
      <c r="D5917" s="3" t="str">
        <f t="shared" ref="D5917:D5918" si="1037">HYPERLINK("https://12go.asia/en/travel/Gumuldur-Hotel-Transfer/Adnan-Menderes-Airport", "12Go Link")</f>
        <v>12Go Link</v>
      </c>
      <c r="E5917" s="2" t="s">
        <v>5304</v>
      </c>
    </row>
    <row r="5918">
      <c r="A5918" s="2" t="s">
        <v>5432</v>
      </c>
      <c r="B5918" s="2" t="s">
        <v>5307</v>
      </c>
      <c r="C5918" s="2" t="s">
        <v>5433</v>
      </c>
      <c r="D5918" s="3" t="str">
        <f t="shared" si="1037"/>
        <v>12Go Link</v>
      </c>
      <c r="E5918" s="2" t="s">
        <v>5305</v>
      </c>
    </row>
    <row r="5919">
      <c r="A5919" s="2" t="s">
        <v>5387</v>
      </c>
      <c r="B5919" s="2" t="s">
        <v>5302</v>
      </c>
      <c r="C5919" s="2" t="s">
        <v>5434</v>
      </c>
      <c r="D5919" s="3" t="str">
        <f t="shared" ref="D5919:D5920" si="1038">HYPERLINK("https://12go.asia/en/travel/Gumusluk-Hotel-Transfer/Bodrum-Milas-Airport", "12Go Link")</f>
        <v>12Go Link</v>
      </c>
      <c r="E5919" s="2" t="s">
        <v>5304</v>
      </c>
    </row>
    <row r="5920">
      <c r="A5920" s="2" t="s">
        <v>5387</v>
      </c>
      <c r="B5920" s="2" t="s">
        <v>5302</v>
      </c>
      <c r="C5920" s="2" t="s">
        <v>5434</v>
      </c>
      <c r="D5920" s="3" t="str">
        <f t="shared" si="1038"/>
        <v>12Go Link</v>
      </c>
      <c r="E5920" s="2" t="s">
        <v>5305</v>
      </c>
    </row>
    <row r="5921">
      <c r="A5921" s="2" t="s">
        <v>5389</v>
      </c>
      <c r="B5921" s="2" t="s">
        <v>5302</v>
      </c>
      <c r="C5921" s="2" t="s">
        <v>5435</v>
      </c>
      <c r="D5921" s="3" t="str">
        <f t="shared" ref="D5921:D5922" si="1039">HYPERLINK("https://12go.asia/en/travel/Gundogan-Hotel-Transfer/Bodrum-Milas-Airport", "12Go Link")</f>
        <v>12Go Link</v>
      </c>
      <c r="E5921" s="2" t="s">
        <v>5304</v>
      </c>
    </row>
    <row r="5922">
      <c r="A5922" s="2" t="s">
        <v>5389</v>
      </c>
      <c r="B5922" s="2" t="s">
        <v>5302</v>
      </c>
      <c r="C5922" s="2" t="s">
        <v>5435</v>
      </c>
      <c r="D5922" s="3" t="str">
        <f t="shared" si="1039"/>
        <v>12Go Link</v>
      </c>
      <c r="E5922" s="2" t="s">
        <v>5305</v>
      </c>
    </row>
    <row r="5923">
      <c r="A5923" s="2" t="s">
        <v>5391</v>
      </c>
      <c r="B5923" s="2" t="s">
        <v>5302</v>
      </c>
      <c r="C5923" s="2" t="s">
        <v>5436</v>
      </c>
      <c r="D5923" s="3" t="str">
        <f t="shared" ref="D5923:D5924" si="1040">HYPERLINK("https://12go.asia/en/travel/Guvercinlik-Hotel-Transfer/Bodrum-Milas-Airport", "12Go Link")</f>
        <v>12Go Link</v>
      </c>
      <c r="E5923" s="2" t="s">
        <v>5304</v>
      </c>
    </row>
    <row r="5924">
      <c r="A5924" s="2" t="s">
        <v>5391</v>
      </c>
      <c r="B5924" s="2" t="s">
        <v>5302</v>
      </c>
      <c r="C5924" s="2" t="s">
        <v>5436</v>
      </c>
      <c r="D5924" s="3" t="str">
        <f t="shared" si="1040"/>
        <v>12Go Link</v>
      </c>
      <c r="E5924" s="2" t="s">
        <v>5305</v>
      </c>
    </row>
    <row r="5925">
      <c r="A5925" s="2" t="s">
        <v>5437</v>
      </c>
      <c r="B5925" s="2" t="s">
        <v>5307</v>
      </c>
      <c r="C5925" s="2" t="s">
        <v>5438</v>
      </c>
      <c r="D5925" s="3" t="str">
        <f t="shared" ref="D5925:D5926" si="1041">HYPERLINK("https://12go.asia/en/travel/Guzelcamli-Hotel-Transfer/Adnan-Menderes-Airport", "12Go Link")</f>
        <v>12Go Link</v>
      </c>
      <c r="E5925" s="2" t="s">
        <v>5304</v>
      </c>
    </row>
    <row r="5926">
      <c r="A5926" s="2" t="s">
        <v>5437</v>
      </c>
      <c r="B5926" s="2" t="s">
        <v>5307</v>
      </c>
      <c r="C5926" s="2" t="s">
        <v>5438</v>
      </c>
      <c r="D5926" s="3" t="str">
        <f t="shared" si="1041"/>
        <v>12Go Link</v>
      </c>
      <c r="E5926" s="2" t="s">
        <v>5305</v>
      </c>
    </row>
    <row r="5927">
      <c r="A5927" s="2" t="s">
        <v>5439</v>
      </c>
      <c r="B5927" s="2" t="s">
        <v>5307</v>
      </c>
      <c r="C5927" s="2" t="s">
        <v>5440</v>
      </c>
      <c r="D5927" s="3" t="str">
        <f t="shared" ref="D5927:D5928" si="1042">HYPERLINK("https://12go.asia/en/travel/Ildir-Hotel-Transfer/Adnan-Menderes-Airport", "12Go Link")</f>
        <v>12Go Link</v>
      </c>
      <c r="E5927" s="2" t="s">
        <v>5304</v>
      </c>
    </row>
    <row r="5928">
      <c r="A5928" s="2" t="s">
        <v>5439</v>
      </c>
      <c r="B5928" s="2" t="s">
        <v>5307</v>
      </c>
      <c r="C5928" s="2" t="s">
        <v>5440</v>
      </c>
      <c r="D5928" s="3" t="str">
        <f t="shared" si="1042"/>
        <v>12Go Link</v>
      </c>
      <c r="E5928" s="2" t="s">
        <v>5305</v>
      </c>
    </row>
    <row r="5929">
      <c r="A5929" s="2" t="s">
        <v>5316</v>
      </c>
      <c r="B5929" s="2" t="s">
        <v>5309</v>
      </c>
      <c r="C5929" s="2" t="s">
        <v>5441</v>
      </c>
      <c r="D5929" s="3" t="str">
        <f t="shared" ref="D5929:D5930" si="1043">HYPERLINK("https://12go.asia/en/travel/Incekum-Hotel-Transfer/Gazipasa-Alanya-Airport", "12Go Link")</f>
        <v>12Go Link</v>
      </c>
      <c r="E5929" s="2" t="s">
        <v>5304</v>
      </c>
    </row>
    <row r="5930">
      <c r="A5930" s="2" t="s">
        <v>5316</v>
      </c>
      <c r="B5930" s="2" t="s">
        <v>5309</v>
      </c>
      <c r="C5930" s="2" t="s">
        <v>5441</v>
      </c>
      <c r="D5930" s="3" t="str">
        <f t="shared" si="1043"/>
        <v>12Go Link</v>
      </c>
      <c r="E5930" s="2" t="s">
        <v>5305</v>
      </c>
    </row>
    <row r="5931">
      <c r="A5931" s="2" t="s">
        <v>5316</v>
      </c>
      <c r="B5931" s="2" t="s">
        <v>5346</v>
      </c>
      <c r="C5931" s="2" t="s">
        <v>5442</v>
      </c>
      <c r="D5931" s="3" t="str">
        <f t="shared" ref="D5931:D5932" si="1044">HYPERLINK("https://12go.asia/en/travel/Incekum-Hotel-Transfer/Antalya-Airport", "12Go Link")</f>
        <v>12Go Link</v>
      </c>
      <c r="E5931" s="2" t="s">
        <v>5304</v>
      </c>
    </row>
    <row r="5932">
      <c r="A5932" s="2" t="s">
        <v>5316</v>
      </c>
      <c r="B5932" s="2" t="s">
        <v>5346</v>
      </c>
      <c r="C5932" s="2" t="s">
        <v>5442</v>
      </c>
      <c r="D5932" s="3" t="str">
        <f t="shared" si="1044"/>
        <v>12Go Link</v>
      </c>
      <c r="E5932" s="2" t="s">
        <v>5305</v>
      </c>
    </row>
    <row r="5933">
      <c r="A5933" s="2" t="s">
        <v>5307</v>
      </c>
      <c r="B5933" s="2" t="s">
        <v>5306</v>
      </c>
      <c r="C5933" s="2" t="s">
        <v>5443</v>
      </c>
      <c r="D5933" s="3" t="str">
        <f t="shared" ref="D5933:D5934" si="1045">HYPERLINK("https://12go.asia/en/travel/Adnan-Menderes-Airport/Alacati-Hotel-Transfer", "12Go Link")</f>
        <v>12Go Link</v>
      </c>
      <c r="E5933" s="2" t="s">
        <v>5304</v>
      </c>
    </row>
    <row r="5934">
      <c r="A5934" s="2" t="s">
        <v>5307</v>
      </c>
      <c r="B5934" s="2" t="s">
        <v>5306</v>
      </c>
      <c r="C5934" s="2" t="s">
        <v>5443</v>
      </c>
      <c r="D5934" s="3" t="str">
        <f t="shared" si="1045"/>
        <v>12Go Link</v>
      </c>
      <c r="E5934" s="2" t="s">
        <v>5305</v>
      </c>
    </row>
    <row r="5935">
      <c r="A5935" s="2" t="s">
        <v>5307</v>
      </c>
      <c r="B5935" s="2" t="s">
        <v>5344</v>
      </c>
      <c r="C5935" s="2" t="s">
        <v>5444</v>
      </c>
      <c r="D5935" s="3" t="str">
        <f t="shared" ref="D5935:D5936" si="1046">HYPERLINK("https://12go.asia/en/travel/Adnan-Menderes-Airport/Aliaga-Hotel-Transfer", "12Go Link")</f>
        <v>12Go Link</v>
      </c>
      <c r="E5935" s="2" t="s">
        <v>5304</v>
      </c>
    </row>
    <row r="5936">
      <c r="A5936" s="2" t="s">
        <v>5307</v>
      </c>
      <c r="B5936" s="2" t="s">
        <v>5344</v>
      </c>
      <c r="C5936" s="2" t="s">
        <v>5444</v>
      </c>
      <c r="D5936" s="3" t="str">
        <f t="shared" si="1046"/>
        <v>12Go Link</v>
      </c>
      <c r="E5936" s="2" t="s">
        <v>5305</v>
      </c>
    </row>
    <row r="5937">
      <c r="A5937" s="2" t="s">
        <v>5307</v>
      </c>
      <c r="B5937" s="2" t="s">
        <v>5359</v>
      </c>
      <c r="C5937" s="2" t="s">
        <v>5445</v>
      </c>
      <c r="D5937" s="3" t="str">
        <f t="shared" ref="D5937:D5938" si="1047">HYPERLINK("https://12go.asia/en/travel/Adnan-Menderes-Airport/Aydin-Hotel-Transfer", "12Go Link")</f>
        <v>12Go Link</v>
      </c>
      <c r="E5937" s="2" t="s">
        <v>5304</v>
      </c>
    </row>
    <row r="5938">
      <c r="A5938" s="2" t="s">
        <v>5307</v>
      </c>
      <c r="B5938" s="2" t="s">
        <v>5359</v>
      </c>
      <c r="C5938" s="2" t="s">
        <v>5445</v>
      </c>
      <c r="D5938" s="3" t="str">
        <f t="shared" si="1047"/>
        <v>12Go Link</v>
      </c>
      <c r="E5938" s="2" t="s">
        <v>5305</v>
      </c>
    </row>
    <row r="5939">
      <c r="A5939" s="2" t="s">
        <v>5307</v>
      </c>
      <c r="B5939" s="2" t="s">
        <v>5361</v>
      </c>
      <c r="C5939" s="2" t="s">
        <v>5446</v>
      </c>
      <c r="D5939" s="3" t="str">
        <f t="shared" ref="D5939:D5940" si="1048">HYPERLINK("https://12go.asia/en/travel/Adnan-Menderes-Airport/Ayvalik-Hotel-Transfer", "12Go Link")</f>
        <v>12Go Link</v>
      </c>
      <c r="E5939" s="2" t="s">
        <v>5304</v>
      </c>
    </row>
    <row r="5940">
      <c r="A5940" s="2" t="s">
        <v>5307</v>
      </c>
      <c r="B5940" s="2" t="s">
        <v>5361</v>
      </c>
      <c r="C5940" s="2" t="s">
        <v>5446</v>
      </c>
      <c r="D5940" s="3" t="str">
        <f t="shared" si="1048"/>
        <v>12Go Link</v>
      </c>
      <c r="E5940" s="2" t="s">
        <v>5305</v>
      </c>
    </row>
    <row r="5941">
      <c r="A5941" s="2" t="s">
        <v>5307</v>
      </c>
      <c r="B5941" s="2" t="s">
        <v>5363</v>
      </c>
      <c r="C5941" s="2" t="s">
        <v>5447</v>
      </c>
      <c r="D5941" s="3" t="str">
        <f t="shared" ref="D5941:D5942" si="1049">HYPERLINK("https://12go.asia/en/travel/Adnan-Menderes-Airport/Bademli-Hotel-Transfer", "12Go Link")</f>
        <v>12Go Link</v>
      </c>
      <c r="E5941" s="2" t="s">
        <v>5304</v>
      </c>
    </row>
    <row r="5942">
      <c r="A5942" s="2" t="s">
        <v>5307</v>
      </c>
      <c r="B5942" s="2" t="s">
        <v>5363</v>
      </c>
      <c r="C5942" s="2" t="s">
        <v>5447</v>
      </c>
      <c r="D5942" s="3" t="str">
        <f t="shared" si="1049"/>
        <v>12Go Link</v>
      </c>
      <c r="E5942" s="2" t="s">
        <v>5305</v>
      </c>
    </row>
    <row r="5943">
      <c r="A5943" s="2" t="s">
        <v>5307</v>
      </c>
      <c r="B5943" s="2" t="s">
        <v>5365</v>
      </c>
      <c r="C5943" s="2" t="s">
        <v>5448</v>
      </c>
      <c r="D5943" s="3" t="str">
        <f t="shared" ref="D5943:D5944" si="1050">HYPERLINK("https://12go.asia/en/travel/Adnan-Menderes-Airport/Balikesir-Hotel-Transfer", "12Go Link")</f>
        <v>12Go Link</v>
      </c>
      <c r="E5943" s="2" t="s">
        <v>5304</v>
      </c>
    </row>
    <row r="5944">
      <c r="A5944" s="2" t="s">
        <v>5307</v>
      </c>
      <c r="B5944" s="2" t="s">
        <v>5365</v>
      </c>
      <c r="C5944" s="2" t="s">
        <v>5448</v>
      </c>
      <c r="D5944" s="3" t="str">
        <f t="shared" si="1050"/>
        <v>12Go Link</v>
      </c>
      <c r="E5944" s="2" t="s">
        <v>5305</v>
      </c>
    </row>
    <row r="5945">
      <c r="A5945" s="2" t="s">
        <v>5307</v>
      </c>
      <c r="B5945" s="2" t="s">
        <v>5367</v>
      </c>
      <c r="C5945" s="2" t="s">
        <v>5449</v>
      </c>
      <c r="D5945" s="3" t="str">
        <f t="shared" ref="D5945:D5946" si="1051">HYPERLINK("https://12go.asia/en/travel/Adnan-Menderes-Airport/Balikliova-Hotel-Transfer", "12Go Link")</f>
        <v>12Go Link</v>
      </c>
      <c r="E5945" s="2" t="s">
        <v>5304</v>
      </c>
    </row>
    <row r="5946">
      <c r="A5946" s="2" t="s">
        <v>5307</v>
      </c>
      <c r="B5946" s="2" t="s">
        <v>5367</v>
      </c>
      <c r="C5946" s="2" t="s">
        <v>5449</v>
      </c>
      <c r="D5946" s="3" t="str">
        <f t="shared" si="1051"/>
        <v>12Go Link</v>
      </c>
      <c r="E5946" s="2" t="s">
        <v>5305</v>
      </c>
    </row>
    <row r="5947">
      <c r="A5947" s="2" t="s">
        <v>5307</v>
      </c>
      <c r="B5947" s="2" t="s">
        <v>5369</v>
      </c>
      <c r="C5947" s="2" t="s">
        <v>5450</v>
      </c>
      <c r="D5947" s="3" t="str">
        <f t="shared" ref="D5947:D5948" si="1052">HYPERLINK("https://12go.asia/en/travel/Adnan-Menderes-Airport/Bergama-Hotel-Transfer", "12Go Link")</f>
        <v>12Go Link</v>
      </c>
      <c r="E5947" s="2" t="s">
        <v>5304</v>
      </c>
    </row>
    <row r="5948">
      <c r="A5948" s="2" t="s">
        <v>5307</v>
      </c>
      <c r="B5948" s="2" t="s">
        <v>5369</v>
      </c>
      <c r="C5948" s="2" t="s">
        <v>5450</v>
      </c>
      <c r="D5948" s="3" t="str">
        <f t="shared" si="1052"/>
        <v>12Go Link</v>
      </c>
      <c r="E5948" s="2" t="s">
        <v>5305</v>
      </c>
    </row>
    <row r="5949">
      <c r="A5949" s="2" t="s">
        <v>5307</v>
      </c>
      <c r="B5949" s="2" t="s">
        <v>5406</v>
      </c>
      <c r="C5949" s="2" t="s">
        <v>5451</v>
      </c>
      <c r="D5949" s="3" t="str">
        <f t="shared" ref="D5949:D5950" si="1053">HYPERLINK("https://12go.asia/en/travel/Adnan-Menderes-Airport/Burhaniye-Hotel-Transfer", "12Go Link")</f>
        <v>12Go Link</v>
      </c>
      <c r="E5949" s="2" t="s">
        <v>5304</v>
      </c>
    </row>
    <row r="5950">
      <c r="A5950" s="2" t="s">
        <v>5307</v>
      </c>
      <c r="B5950" s="2" t="s">
        <v>5406</v>
      </c>
      <c r="C5950" s="2" t="s">
        <v>5451</v>
      </c>
      <c r="D5950" s="3" t="str">
        <f t="shared" si="1053"/>
        <v>12Go Link</v>
      </c>
      <c r="E5950" s="2" t="s">
        <v>5305</v>
      </c>
    </row>
    <row r="5951">
      <c r="A5951" s="2" t="s">
        <v>5307</v>
      </c>
      <c r="B5951" s="2" t="s">
        <v>5408</v>
      </c>
      <c r="C5951" s="2" t="s">
        <v>5452</v>
      </c>
      <c r="D5951" s="3" t="str">
        <f t="shared" ref="D5951:D5952" si="1054">HYPERLINK("https://12go.asia/en/travel/Adnan-Menderes-Airport/Candarli-Hotel-Transfer", "12Go Link")</f>
        <v>12Go Link</v>
      </c>
      <c r="E5951" s="2" t="s">
        <v>5304</v>
      </c>
    </row>
    <row r="5952">
      <c r="A5952" s="2" t="s">
        <v>5307</v>
      </c>
      <c r="B5952" s="2" t="s">
        <v>5408</v>
      </c>
      <c r="C5952" s="2" t="s">
        <v>5452</v>
      </c>
      <c r="D5952" s="3" t="str">
        <f t="shared" si="1054"/>
        <v>12Go Link</v>
      </c>
      <c r="E5952" s="2" t="s">
        <v>5305</v>
      </c>
    </row>
    <row r="5953">
      <c r="A5953" s="2" t="s">
        <v>5307</v>
      </c>
      <c r="B5953" s="2" t="s">
        <v>5412</v>
      </c>
      <c r="C5953" s="2" t="s">
        <v>5453</v>
      </c>
      <c r="D5953" s="3" t="str">
        <f t="shared" ref="D5953:D5954" si="1055">HYPERLINK("https://12go.asia/en/travel/Adnan-Menderes-Airport/Cesme-Hotel-Transfer", "12Go Link")</f>
        <v>12Go Link</v>
      </c>
      <c r="E5953" s="2" t="s">
        <v>5304</v>
      </c>
    </row>
    <row r="5954">
      <c r="A5954" s="2" t="s">
        <v>5307</v>
      </c>
      <c r="B5954" s="2" t="s">
        <v>5412</v>
      </c>
      <c r="C5954" s="2" t="s">
        <v>5453</v>
      </c>
      <c r="D5954" s="3" t="str">
        <f t="shared" si="1055"/>
        <v>12Go Link</v>
      </c>
      <c r="E5954" s="2" t="s">
        <v>5305</v>
      </c>
    </row>
    <row r="5955">
      <c r="A5955" s="2" t="s">
        <v>5307</v>
      </c>
      <c r="B5955" s="2" t="s">
        <v>5417</v>
      </c>
      <c r="C5955" s="2" t="s">
        <v>5454</v>
      </c>
      <c r="D5955" s="3" t="str">
        <f t="shared" ref="D5955:D5956" si="1056">HYPERLINK("https://12go.asia/en/travel/Adnan-Menderes-Airport/Dalyan-Hotel-Transfer", "12Go Link")</f>
        <v>12Go Link</v>
      </c>
      <c r="E5955" s="2" t="s">
        <v>5304</v>
      </c>
    </row>
    <row r="5956">
      <c r="A5956" s="2" t="s">
        <v>5307</v>
      </c>
      <c r="B5956" s="2" t="s">
        <v>5417</v>
      </c>
      <c r="C5956" s="2" t="s">
        <v>5454</v>
      </c>
      <c r="D5956" s="3" t="str">
        <f t="shared" si="1056"/>
        <v>12Go Link</v>
      </c>
      <c r="E5956" s="2" t="s">
        <v>5305</v>
      </c>
    </row>
    <row r="5957">
      <c r="A5957" s="2" t="s">
        <v>5307</v>
      </c>
      <c r="B5957" s="2" t="s">
        <v>5419</v>
      </c>
      <c r="C5957" s="2" t="s">
        <v>5455</v>
      </c>
      <c r="D5957" s="3" t="str">
        <f t="shared" ref="D5957:D5958" si="1057">HYPERLINK("https://12go.asia/en/travel/Adnan-Menderes-Airport/Davutlar-Hotel-Transfer", "12Go Link")</f>
        <v>12Go Link</v>
      </c>
      <c r="E5957" s="2" t="s">
        <v>5304</v>
      </c>
    </row>
    <row r="5958">
      <c r="A5958" s="2" t="s">
        <v>5307</v>
      </c>
      <c r="B5958" s="2" t="s">
        <v>5419</v>
      </c>
      <c r="C5958" s="2" t="s">
        <v>5455</v>
      </c>
      <c r="D5958" s="3" t="str">
        <f t="shared" si="1057"/>
        <v>12Go Link</v>
      </c>
      <c r="E5958" s="2" t="s">
        <v>5305</v>
      </c>
    </row>
    <row r="5959">
      <c r="A5959" s="2" t="s">
        <v>5307</v>
      </c>
      <c r="B5959" s="2" t="s">
        <v>5383</v>
      </c>
      <c r="C5959" s="2" t="s">
        <v>5456</v>
      </c>
      <c r="D5959" s="3" t="str">
        <f t="shared" ref="D5959:D5960" si="1058">HYPERLINK("https://12go.asia/en/travel/Adnan-Menderes-Airport/Didim-Hotel-Transfer", "12Go Link")</f>
        <v>12Go Link</v>
      </c>
      <c r="E5959" s="2" t="s">
        <v>5304</v>
      </c>
    </row>
    <row r="5960">
      <c r="A5960" s="2" t="s">
        <v>5307</v>
      </c>
      <c r="B5960" s="2" t="s">
        <v>5383</v>
      </c>
      <c r="C5960" s="2" t="s">
        <v>5456</v>
      </c>
      <c r="D5960" s="3" t="str">
        <f t="shared" si="1058"/>
        <v>12Go Link</v>
      </c>
      <c r="E5960" s="2" t="s">
        <v>5305</v>
      </c>
    </row>
    <row r="5961">
      <c r="A5961" s="2" t="s">
        <v>5307</v>
      </c>
      <c r="B5961" s="2" t="s">
        <v>5423</v>
      </c>
      <c r="C5961" s="2" t="s">
        <v>5457</v>
      </c>
      <c r="D5961" s="3" t="str">
        <f t="shared" ref="D5961:D5962" si="1059">HYPERLINK("https://12go.asia/en/travel/Adnan-Menderes-Airport/Dikili-Hotel-Transfer", "12Go Link")</f>
        <v>12Go Link</v>
      </c>
      <c r="E5961" s="2" t="s">
        <v>5304</v>
      </c>
    </row>
    <row r="5962">
      <c r="A5962" s="2" t="s">
        <v>5307</v>
      </c>
      <c r="B5962" s="2" t="s">
        <v>5423</v>
      </c>
      <c r="C5962" s="2" t="s">
        <v>5457</v>
      </c>
      <c r="D5962" s="3" t="str">
        <f t="shared" si="1059"/>
        <v>12Go Link</v>
      </c>
      <c r="E5962" s="2" t="s">
        <v>5305</v>
      </c>
    </row>
    <row r="5963">
      <c r="A5963" s="2" t="s">
        <v>5307</v>
      </c>
      <c r="B5963" s="2" t="s">
        <v>5425</v>
      </c>
      <c r="C5963" s="2" t="s">
        <v>5458</v>
      </c>
      <c r="D5963" s="3" t="str">
        <f t="shared" ref="D5963:D5964" si="1060">HYPERLINK("https://12go.asia/en/travel/Adnan-Menderes-Airport/Edremit-Hotel-Transfer", "12Go Link")</f>
        <v>12Go Link</v>
      </c>
      <c r="E5963" s="2" t="s">
        <v>5304</v>
      </c>
    </row>
    <row r="5964">
      <c r="A5964" s="2" t="s">
        <v>5307</v>
      </c>
      <c r="B5964" s="2" t="s">
        <v>5425</v>
      </c>
      <c r="C5964" s="2" t="s">
        <v>5458</v>
      </c>
      <c r="D5964" s="3" t="str">
        <f t="shared" si="1060"/>
        <v>12Go Link</v>
      </c>
      <c r="E5964" s="2" t="s">
        <v>5305</v>
      </c>
    </row>
    <row r="5965">
      <c r="A5965" s="2" t="s">
        <v>5307</v>
      </c>
      <c r="B5965" s="2" t="s">
        <v>5427</v>
      </c>
      <c r="C5965" s="2" t="s">
        <v>5459</v>
      </c>
      <c r="D5965" s="3" t="str">
        <f t="shared" ref="D5965:D5966" si="1061">HYPERLINK("https://12go.asia/en/travel/Adnan-Menderes-Airport/Ciftlik-Hotel-Transfer", "12Go Link")</f>
        <v>12Go Link</v>
      </c>
      <c r="E5965" s="2" t="s">
        <v>5304</v>
      </c>
    </row>
    <row r="5966">
      <c r="A5966" s="2" t="s">
        <v>5307</v>
      </c>
      <c r="B5966" s="2" t="s">
        <v>5427</v>
      </c>
      <c r="C5966" s="2" t="s">
        <v>5459</v>
      </c>
      <c r="D5966" s="3" t="str">
        <f t="shared" si="1061"/>
        <v>12Go Link</v>
      </c>
      <c r="E5966" s="2" t="s">
        <v>5305</v>
      </c>
    </row>
    <row r="5967">
      <c r="A5967" s="2" t="s">
        <v>5307</v>
      </c>
      <c r="B5967" s="2" t="s">
        <v>5429</v>
      </c>
      <c r="C5967" s="2" t="s">
        <v>5460</v>
      </c>
      <c r="D5967" s="3" t="str">
        <f t="shared" ref="D5967:D5968" si="1062">HYPERLINK("https://12go.asia/en/travel/Adnan-Menderes-Airport/Foca-Hotel-Transfer", "12Go Link")</f>
        <v>12Go Link</v>
      </c>
      <c r="E5967" s="2" t="s">
        <v>5304</v>
      </c>
    </row>
    <row r="5968">
      <c r="A5968" s="2" t="s">
        <v>5307</v>
      </c>
      <c r="B5968" s="2" t="s">
        <v>5429</v>
      </c>
      <c r="C5968" s="2" t="s">
        <v>5460</v>
      </c>
      <c r="D5968" s="3" t="str">
        <f t="shared" si="1062"/>
        <v>12Go Link</v>
      </c>
      <c r="E5968" s="2" t="s">
        <v>5305</v>
      </c>
    </row>
    <row r="5969">
      <c r="A5969" s="2" t="s">
        <v>5307</v>
      </c>
      <c r="B5969" s="2" t="s">
        <v>5432</v>
      </c>
      <c r="C5969" s="2" t="s">
        <v>5461</v>
      </c>
      <c r="D5969" s="3" t="str">
        <f t="shared" ref="D5969:D5970" si="1063">HYPERLINK("https://12go.asia/en/travel/Adnan-Menderes-Airport/Gumuldur-Hotel-Transfer", "12Go Link")</f>
        <v>12Go Link</v>
      </c>
      <c r="E5969" s="2" t="s">
        <v>5304</v>
      </c>
    </row>
    <row r="5970">
      <c r="A5970" s="2" t="s">
        <v>5307</v>
      </c>
      <c r="B5970" s="2" t="s">
        <v>5432</v>
      </c>
      <c r="C5970" s="2" t="s">
        <v>5461</v>
      </c>
      <c r="D5970" s="3" t="str">
        <f t="shared" si="1063"/>
        <v>12Go Link</v>
      </c>
      <c r="E5970" s="2" t="s">
        <v>5305</v>
      </c>
    </row>
    <row r="5971">
      <c r="A5971" s="2" t="s">
        <v>5307</v>
      </c>
      <c r="B5971" s="2" t="s">
        <v>5437</v>
      </c>
      <c r="C5971" s="2" t="s">
        <v>5462</v>
      </c>
      <c r="D5971" s="3" t="str">
        <f t="shared" ref="D5971:D5972" si="1064">HYPERLINK("https://12go.asia/en/travel/Adnan-Menderes-Airport/Guzelcamli-Hotel-Transfer", "12Go Link")</f>
        <v>12Go Link</v>
      </c>
      <c r="E5971" s="2" t="s">
        <v>5304</v>
      </c>
    </row>
    <row r="5972">
      <c r="A5972" s="2" t="s">
        <v>5307</v>
      </c>
      <c r="B5972" s="2" t="s">
        <v>5437</v>
      </c>
      <c r="C5972" s="2" t="s">
        <v>5462</v>
      </c>
      <c r="D5972" s="3" t="str">
        <f t="shared" si="1064"/>
        <v>12Go Link</v>
      </c>
      <c r="E5972" s="2" t="s">
        <v>5305</v>
      </c>
    </row>
    <row r="5973">
      <c r="A5973" s="2" t="s">
        <v>5307</v>
      </c>
      <c r="B5973" s="2" t="s">
        <v>5439</v>
      </c>
      <c r="C5973" s="2" t="s">
        <v>5463</v>
      </c>
      <c r="D5973" s="3" t="str">
        <f t="shared" ref="D5973:D5974" si="1065">HYPERLINK("https://12go.asia/en/travel/Adnan-Menderes-Airport/Ildir-Hotel-Transfer", "12Go Link")</f>
        <v>12Go Link</v>
      </c>
      <c r="E5973" s="2" t="s">
        <v>5304</v>
      </c>
    </row>
    <row r="5974">
      <c r="A5974" s="2" t="s">
        <v>5307</v>
      </c>
      <c r="B5974" s="2" t="s">
        <v>5439</v>
      </c>
      <c r="C5974" s="2" t="s">
        <v>5463</v>
      </c>
      <c r="D5974" s="3" t="str">
        <f t="shared" si="1065"/>
        <v>12Go Link</v>
      </c>
      <c r="E5974" s="2" t="s">
        <v>5305</v>
      </c>
    </row>
    <row r="5975">
      <c r="A5975" s="2" t="s">
        <v>5307</v>
      </c>
      <c r="B5975" s="2" t="s">
        <v>5307</v>
      </c>
      <c r="C5975" s="2" t="s">
        <v>5464</v>
      </c>
      <c r="D5975" s="3" t="str">
        <f t="shared" ref="D5975:D5976" si="1066">HYPERLINK("https://12go.asia/en/travel/Adnan-Menderes-Airport/Alsancak-Hotel-Transfer", "12Go Link")</f>
        <v>12Go Link</v>
      </c>
      <c r="E5975" s="2" t="s">
        <v>5304</v>
      </c>
    </row>
    <row r="5976">
      <c r="A5976" s="2" t="s">
        <v>5307</v>
      </c>
      <c r="B5976" s="2" t="s">
        <v>5307</v>
      </c>
      <c r="C5976" s="2" t="s">
        <v>5464</v>
      </c>
      <c r="D5976" s="3" t="str">
        <f t="shared" si="1066"/>
        <v>12Go Link</v>
      </c>
      <c r="E5976" s="2" t="s">
        <v>5305</v>
      </c>
    </row>
    <row r="5977">
      <c r="A5977" s="2" t="s">
        <v>5307</v>
      </c>
      <c r="B5977" s="2" t="s">
        <v>5307</v>
      </c>
      <c r="C5977" s="2" t="s">
        <v>5465</v>
      </c>
      <c r="D5977" s="3" t="str">
        <f t="shared" ref="D5977:D5978" si="1067">HYPERLINK("https://12go.asia/en/travel/Adnan-Menderes-Airport/Balcova-Hotel-Transfer", "12Go Link")</f>
        <v>12Go Link</v>
      </c>
      <c r="E5977" s="2" t="s">
        <v>5304</v>
      </c>
    </row>
    <row r="5978">
      <c r="A5978" s="2" t="s">
        <v>5307</v>
      </c>
      <c r="B5978" s="2" t="s">
        <v>5307</v>
      </c>
      <c r="C5978" s="2" t="s">
        <v>5465</v>
      </c>
      <c r="D5978" s="3" t="str">
        <f t="shared" si="1067"/>
        <v>12Go Link</v>
      </c>
      <c r="E5978" s="2" t="s">
        <v>5305</v>
      </c>
    </row>
    <row r="5979">
      <c r="A5979" s="2" t="s">
        <v>5307</v>
      </c>
      <c r="B5979" s="2" t="s">
        <v>5307</v>
      </c>
      <c r="C5979" s="2" t="s">
        <v>5466</v>
      </c>
      <c r="D5979" s="3" t="str">
        <f t="shared" ref="D5979:D5980" si="1068">HYPERLINK("https://12go.asia/en/travel/Adnan-Menderes-Airport/Bayrakli-Hotel-Transfer", "12Go Link")</f>
        <v>12Go Link</v>
      </c>
      <c r="E5979" s="2" t="s">
        <v>5304</v>
      </c>
    </row>
    <row r="5980">
      <c r="A5980" s="2" t="s">
        <v>5307</v>
      </c>
      <c r="B5980" s="2" t="s">
        <v>5307</v>
      </c>
      <c r="C5980" s="2" t="s">
        <v>5466</v>
      </c>
      <c r="D5980" s="3" t="str">
        <f t="shared" si="1068"/>
        <v>12Go Link</v>
      </c>
      <c r="E5980" s="2" t="s">
        <v>5305</v>
      </c>
    </row>
    <row r="5981">
      <c r="A5981" s="2" t="s">
        <v>5307</v>
      </c>
      <c r="B5981" s="2" t="s">
        <v>5307</v>
      </c>
      <c r="C5981" s="2" t="s">
        <v>5467</v>
      </c>
      <c r="D5981" s="3" t="str">
        <f t="shared" ref="D5981:D5982" si="1069">HYPERLINK("https://12go.asia/en/travel/Adnan-Menderes-Airport/Bornova-Hotel-Transfer", "12Go Link")</f>
        <v>12Go Link</v>
      </c>
      <c r="E5981" s="2" t="s">
        <v>5304</v>
      </c>
    </row>
    <row r="5982">
      <c r="A5982" s="2" t="s">
        <v>5307</v>
      </c>
      <c r="B5982" s="2" t="s">
        <v>5307</v>
      </c>
      <c r="C5982" s="2" t="s">
        <v>5467</v>
      </c>
      <c r="D5982" s="3" t="str">
        <f t="shared" si="1069"/>
        <v>12Go Link</v>
      </c>
      <c r="E5982" s="2" t="s">
        <v>5305</v>
      </c>
    </row>
    <row r="5983">
      <c r="A5983" s="2" t="s">
        <v>5307</v>
      </c>
      <c r="B5983" s="2" t="s">
        <v>5307</v>
      </c>
      <c r="C5983" s="2" t="s">
        <v>5468</v>
      </c>
      <c r="D5983" s="3" t="str">
        <f t="shared" ref="D5983:D5984" si="1070">HYPERLINK("https://12go.asia/en/travel/Adnan-Menderes-Airport/Bostanli-Hotel-Transfer", "12Go Link")</f>
        <v>12Go Link</v>
      </c>
      <c r="E5983" s="2" t="s">
        <v>5304</v>
      </c>
    </row>
    <row r="5984">
      <c r="A5984" s="2" t="s">
        <v>5307</v>
      </c>
      <c r="B5984" s="2" t="s">
        <v>5307</v>
      </c>
      <c r="C5984" s="2" t="s">
        <v>5468</v>
      </c>
      <c r="D5984" s="3" t="str">
        <f t="shared" si="1070"/>
        <v>12Go Link</v>
      </c>
      <c r="E5984" s="2" t="s">
        <v>5305</v>
      </c>
    </row>
    <row r="5985">
      <c r="A5985" s="2" t="s">
        <v>5307</v>
      </c>
      <c r="B5985" s="2" t="s">
        <v>5307</v>
      </c>
      <c r="C5985" s="2" t="s">
        <v>5469</v>
      </c>
      <c r="D5985" s="3" t="str">
        <f t="shared" ref="D5985:D5986" si="1071">HYPERLINK("https://12go.asia/en/travel/Adnan-Menderes-Airport/Guzelbahce-Hotel-Transfer", "12Go Link")</f>
        <v>12Go Link</v>
      </c>
      <c r="E5985" s="2" t="s">
        <v>5304</v>
      </c>
    </row>
    <row r="5986">
      <c r="A5986" s="2" t="s">
        <v>5307</v>
      </c>
      <c r="B5986" s="2" t="s">
        <v>5307</v>
      </c>
      <c r="C5986" s="2" t="s">
        <v>5469</v>
      </c>
      <c r="D5986" s="3" t="str">
        <f t="shared" si="1071"/>
        <v>12Go Link</v>
      </c>
      <c r="E5986" s="2" t="s">
        <v>5305</v>
      </c>
    </row>
    <row r="5987">
      <c r="A5987" s="2" t="s">
        <v>5307</v>
      </c>
      <c r="B5987" s="2" t="s">
        <v>5307</v>
      </c>
      <c r="C5987" s="2" t="s">
        <v>5470</v>
      </c>
      <c r="D5987" s="3" t="str">
        <f t="shared" ref="D5987:D5988" si="1072">HYPERLINK("https://12go.asia/en/travel/Adnan-Menderes-Airport/Izmir-Hotel-Transfer", "12Go Link")</f>
        <v>12Go Link</v>
      </c>
      <c r="E5987" s="2" t="s">
        <v>5304</v>
      </c>
    </row>
    <row r="5988">
      <c r="A5988" s="2" t="s">
        <v>5307</v>
      </c>
      <c r="B5988" s="2" t="s">
        <v>5307</v>
      </c>
      <c r="C5988" s="2" t="s">
        <v>5470</v>
      </c>
      <c r="D5988" s="3" t="str">
        <f t="shared" si="1072"/>
        <v>12Go Link</v>
      </c>
      <c r="E5988" s="2" t="s">
        <v>5305</v>
      </c>
    </row>
    <row r="5989">
      <c r="A5989" s="2" t="s">
        <v>5307</v>
      </c>
      <c r="B5989" s="2" t="s">
        <v>5307</v>
      </c>
      <c r="C5989" s="2" t="s">
        <v>5471</v>
      </c>
      <c r="D5989" s="3" t="str">
        <f t="shared" ref="D5989:D5990" si="1073">HYPERLINK("https://12go.asia/en/travel/Adnan-Menderes-Airport/Karsiyaka-Hotel-Transfer", "12Go Link")</f>
        <v>12Go Link</v>
      </c>
      <c r="E5989" s="2" t="s">
        <v>5304</v>
      </c>
    </row>
    <row r="5990">
      <c r="A5990" s="2" t="s">
        <v>5307</v>
      </c>
      <c r="B5990" s="2" t="s">
        <v>5307</v>
      </c>
      <c r="C5990" s="2" t="s">
        <v>5471</v>
      </c>
      <c r="D5990" s="3" t="str">
        <f t="shared" si="1073"/>
        <v>12Go Link</v>
      </c>
      <c r="E5990" s="2" t="s">
        <v>5305</v>
      </c>
    </row>
    <row r="5991">
      <c r="A5991" s="2" t="s">
        <v>5307</v>
      </c>
      <c r="B5991" s="2" t="s">
        <v>5307</v>
      </c>
      <c r="C5991" s="2" t="s">
        <v>5472</v>
      </c>
      <c r="D5991" s="3" t="str">
        <f t="shared" ref="D5991:D5992" si="1074">HYPERLINK("https://12go.asia/en/travel/Adnan-Menderes-Airport/Kemalpasa-Hotel-Transfer", "12Go Link")</f>
        <v>12Go Link</v>
      </c>
      <c r="E5991" s="2" t="s">
        <v>5304</v>
      </c>
    </row>
    <row r="5992">
      <c r="A5992" s="2" t="s">
        <v>5307</v>
      </c>
      <c r="B5992" s="2" t="s">
        <v>5307</v>
      </c>
      <c r="C5992" s="2" t="s">
        <v>5472</v>
      </c>
      <c r="D5992" s="3" t="str">
        <f t="shared" si="1074"/>
        <v>12Go Link</v>
      </c>
      <c r="E5992" s="2" t="s">
        <v>5305</v>
      </c>
    </row>
    <row r="5993">
      <c r="A5993" s="2" t="s">
        <v>5307</v>
      </c>
      <c r="B5993" s="2" t="s">
        <v>5307</v>
      </c>
      <c r="C5993" s="2" t="s">
        <v>5473</v>
      </c>
      <c r="D5993" s="3" t="str">
        <f t="shared" ref="D5993:D5994" si="1075">HYPERLINK("https://12go.asia/en/travel/Adnan-Menderes-Airport/Konak-Hotel-Transfer", "12Go Link")</f>
        <v>12Go Link</v>
      </c>
      <c r="E5993" s="2" t="s">
        <v>5304</v>
      </c>
    </row>
    <row r="5994">
      <c r="A5994" s="2" t="s">
        <v>5307</v>
      </c>
      <c r="B5994" s="2" t="s">
        <v>5307</v>
      </c>
      <c r="C5994" s="2" t="s">
        <v>5473</v>
      </c>
      <c r="D5994" s="3" t="str">
        <f t="shared" si="1075"/>
        <v>12Go Link</v>
      </c>
      <c r="E5994" s="2" t="s">
        <v>5305</v>
      </c>
    </row>
    <row r="5995">
      <c r="A5995" s="2" t="s">
        <v>5307</v>
      </c>
      <c r="B5995" s="2" t="s">
        <v>5307</v>
      </c>
      <c r="C5995" s="2" t="s">
        <v>5474</v>
      </c>
      <c r="D5995" s="3" t="str">
        <f t="shared" ref="D5995:D5996" si="1076">HYPERLINK("https://12go.asia/en/travel/Adnan-Menderes-Airport/Mavisehir-Hotel-Transfer", "12Go Link")</f>
        <v>12Go Link</v>
      </c>
      <c r="E5995" s="2" t="s">
        <v>5304</v>
      </c>
    </row>
    <row r="5996">
      <c r="A5996" s="2" t="s">
        <v>5307</v>
      </c>
      <c r="B5996" s="2" t="s">
        <v>5307</v>
      </c>
      <c r="C5996" s="2" t="s">
        <v>5474</v>
      </c>
      <c r="D5996" s="3" t="str">
        <f t="shared" si="1076"/>
        <v>12Go Link</v>
      </c>
      <c r="E5996" s="2" t="s">
        <v>5305</v>
      </c>
    </row>
    <row r="5997">
      <c r="A5997" s="2" t="s">
        <v>5307</v>
      </c>
      <c r="B5997" s="2" t="s">
        <v>5307</v>
      </c>
      <c r="C5997" s="2" t="s">
        <v>5475</v>
      </c>
      <c r="D5997" s="3" t="str">
        <f t="shared" ref="D5997:D5998" si="1077">HYPERLINK("https://12go.asia/en/travel/Adnan-Menderes-Airport/Menemen-Hotel-Transfer", "12Go Link")</f>
        <v>12Go Link</v>
      </c>
      <c r="E5997" s="2" t="s">
        <v>5304</v>
      </c>
    </row>
    <row r="5998">
      <c r="A5998" s="2" t="s">
        <v>5307</v>
      </c>
      <c r="B5998" s="2" t="s">
        <v>5307</v>
      </c>
      <c r="C5998" s="2" t="s">
        <v>5475</v>
      </c>
      <c r="D5998" s="3" t="str">
        <f t="shared" si="1077"/>
        <v>12Go Link</v>
      </c>
      <c r="E5998" s="2" t="s">
        <v>5305</v>
      </c>
    </row>
    <row r="5999">
      <c r="A5999" s="2" t="s">
        <v>5307</v>
      </c>
      <c r="B5999" s="2" t="s">
        <v>5307</v>
      </c>
      <c r="C5999" s="2" t="s">
        <v>5476</v>
      </c>
      <c r="D5999" s="3" t="str">
        <f t="shared" ref="D5999:D6000" si="1078">HYPERLINK("https://12go.asia/en/travel/Adnan-Menderes-Airport/Narlidere-Hotel-Transfer", "12Go Link")</f>
        <v>12Go Link</v>
      </c>
      <c r="E5999" s="2" t="s">
        <v>5304</v>
      </c>
    </row>
    <row r="6000">
      <c r="A6000" s="2" t="s">
        <v>5307</v>
      </c>
      <c r="B6000" s="2" t="s">
        <v>5307</v>
      </c>
      <c r="C6000" s="2" t="s">
        <v>5476</v>
      </c>
      <c r="D6000" s="3" t="str">
        <f t="shared" si="1078"/>
        <v>12Go Link</v>
      </c>
      <c r="E6000" s="2" t="s">
        <v>5305</v>
      </c>
    </row>
    <row r="6001">
      <c r="A6001" s="2" t="s">
        <v>5307</v>
      </c>
      <c r="B6001" s="2" t="s">
        <v>5307</v>
      </c>
      <c r="C6001" s="2" t="s">
        <v>5477</v>
      </c>
      <c r="D6001" s="3" t="str">
        <f t="shared" ref="D6001:D6002" si="1079">HYPERLINK("https://12go.asia/en/travel/Adnan-Menderes-Airport/Sasali-Hotel-Transfer", "12Go Link")</f>
        <v>12Go Link</v>
      </c>
      <c r="E6001" s="2" t="s">
        <v>5304</v>
      </c>
    </row>
    <row r="6002">
      <c r="A6002" s="2" t="s">
        <v>5307</v>
      </c>
      <c r="B6002" s="2" t="s">
        <v>5307</v>
      </c>
      <c r="C6002" s="2" t="s">
        <v>5477</v>
      </c>
      <c r="D6002" s="3" t="str">
        <f t="shared" si="1079"/>
        <v>12Go Link</v>
      </c>
      <c r="E6002" s="2" t="s">
        <v>5305</v>
      </c>
    </row>
    <row r="6003">
      <c r="A6003" s="2" t="s">
        <v>5307</v>
      </c>
      <c r="B6003" s="2" t="s">
        <v>5307</v>
      </c>
      <c r="C6003" s="2" t="s">
        <v>5478</v>
      </c>
      <c r="D6003" s="3" t="str">
        <f t="shared" ref="D6003:D6004" si="1080">HYPERLINK("https://12go.asia/en/travel/Adnan-Menderes-Airport/Ulukent-Hotel-Transfer", "12Go Link")</f>
        <v>12Go Link</v>
      </c>
      <c r="E6003" s="2" t="s">
        <v>5304</v>
      </c>
    </row>
    <row r="6004">
      <c r="A6004" s="2" t="s">
        <v>5307</v>
      </c>
      <c r="B6004" s="2" t="s">
        <v>5307</v>
      </c>
      <c r="C6004" s="2" t="s">
        <v>5478</v>
      </c>
      <c r="D6004" s="3" t="str">
        <f t="shared" si="1080"/>
        <v>12Go Link</v>
      </c>
      <c r="E6004" s="2" t="s">
        <v>5305</v>
      </c>
    </row>
    <row r="6005">
      <c r="A6005" s="2" t="s">
        <v>5307</v>
      </c>
      <c r="B6005" s="2" t="s">
        <v>5307</v>
      </c>
      <c r="C6005" s="2" t="s">
        <v>5479</v>
      </c>
      <c r="D6005" s="3" t="str">
        <f t="shared" ref="D6005:D6006" si="1081">HYPERLINK("https://12go.asia/en/travel/Alsancak-Hotel-Transfer/Adnan-Menderes-Airport", "12Go Link")</f>
        <v>12Go Link</v>
      </c>
      <c r="E6005" s="2" t="s">
        <v>5304</v>
      </c>
    </row>
    <row r="6006">
      <c r="A6006" s="2" t="s">
        <v>5307</v>
      </c>
      <c r="B6006" s="2" t="s">
        <v>5307</v>
      </c>
      <c r="C6006" s="2" t="s">
        <v>5479</v>
      </c>
      <c r="D6006" s="3" t="str">
        <f t="shared" si="1081"/>
        <v>12Go Link</v>
      </c>
      <c r="E6006" s="2" t="s">
        <v>5305</v>
      </c>
    </row>
    <row r="6007">
      <c r="A6007" s="2" t="s">
        <v>5307</v>
      </c>
      <c r="B6007" s="2" t="s">
        <v>5307</v>
      </c>
      <c r="C6007" s="2" t="s">
        <v>5480</v>
      </c>
      <c r="D6007" s="3" t="str">
        <f t="shared" ref="D6007:D6008" si="1082">HYPERLINK("https://12go.asia/en/travel/Balcova-Hotel-Transfer/Adnan-Menderes-Airport", "12Go Link")</f>
        <v>12Go Link</v>
      </c>
      <c r="E6007" s="2" t="s">
        <v>5304</v>
      </c>
    </row>
    <row r="6008">
      <c r="A6008" s="2" t="s">
        <v>5307</v>
      </c>
      <c r="B6008" s="2" t="s">
        <v>5307</v>
      </c>
      <c r="C6008" s="2" t="s">
        <v>5480</v>
      </c>
      <c r="D6008" s="3" t="str">
        <f t="shared" si="1082"/>
        <v>12Go Link</v>
      </c>
      <c r="E6008" s="2" t="s">
        <v>5305</v>
      </c>
    </row>
    <row r="6009">
      <c r="A6009" s="2" t="s">
        <v>5307</v>
      </c>
      <c r="B6009" s="2" t="s">
        <v>5307</v>
      </c>
      <c r="C6009" s="2" t="s">
        <v>5481</v>
      </c>
      <c r="D6009" s="3" t="str">
        <f t="shared" ref="D6009:D6010" si="1083">HYPERLINK("https://12go.asia/en/travel/Bayrakli-Hotel-Transfer/Adnan-Menderes-Airport", "12Go Link")</f>
        <v>12Go Link</v>
      </c>
      <c r="E6009" s="2" t="s">
        <v>5304</v>
      </c>
    </row>
    <row r="6010">
      <c r="A6010" s="2" t="s">
        <v>5307</v>
      </c>
      <c r="B6010" s="2" t="s">
        <v>5307</v>
      </c>
      <c r="C6010" s="2" t="s">
        <v>5481</v>
      </c>
      <c r="D6010" s="3" t="str">
        <f t="shared" si="1083"/>
        <v>12Go Link</v>
      </c>
      <c r="E6010" s="2" t="s">
        <v>5305</v>
      </c>
    </row>
    <row r="6011">
      <c r="A6011" s="2" t="s">
        <v>5307</v>
      </c>
      <c r="B6011" s="2" t="s">
        <v>5307</v>
      </c>
      <c r="C6011" s="2" t="s">
        <v>5482</v>
      </c>
      <c r="D6011" s="3" t="str">
        <f t="shared" ref="D6011:D6012" si="1084">HYPERLINK("https://12go.asia/en/travel/Bornova-Hotel-Transfer/Adnan-Menderes-Airport", "12Go Link")</f>
        <v>12Go Link</v>
      </c>
      <c r="E6011" s="2" t="s">
        <v>5304</v>
      </c>
    </row>
    <row r="6012">
      <c r="A6012" s="2" t="s">
        <v>5307</v>
      </c>
      <c r="B6012" s="2" t="s">
        <v>5307</v>
      </c>
      <c r="C6012" s="2" t="s">
        <v>5482</v>
      </c>
      <c r="D6012" s="3" t="str">
        <f t="shared" si="1084"/>
        <v>12Go Link</v>
      </c>
      <c r="E6012" s="2" t="s">
        <v>5305</v>
      </c>
    </row>
    <row r="6013">
      <c r="A6013" s="2" t="s">
        <v>5307</v>
      </c>
      <c r="B6013" s="2" t="s">
        <v>5307</v>
      </c>
      <c r="C6013" s="2" t="s">
        <v>5483</v>
      </c>
      <c r="D6013" s="3" t="str">
        <f t="shared" ref="D6013:D6014" si="1085">HYPERLINK("https://12go.asia/en/travel/Bostanli-Hotel-Transfer/Adnan-Menderes-Airport", "12Go Link")</f>
        <v>12Go Link</v>
      </c>
      <c r="E6013" s="2" t="s">
        <v>5304</v>
      </c>
    </row>
    <row r="6014">
      <c r="A6014" s="2" t="s">
        <v>5307</v>
      </c>
      <c r="B6014" s="2" t="s">
        <v>5307</v>
      </c>
      <c r="C6014" s="2" t="s">
        <v>5483</v>
      </c>
      <c r="D6014" s="3" t="str">
        <f t="shared" si="1085"/>
        <v>12Go Link</v>
      </c>
      <c r="E6014" s="2" t="s">
        <v>5305</v>
      </c>
    </row>
    <row r="6015">
      <c r="A6015" s="2" t="s">
        <v>5307</v>
      </c>
      <c r="B6015" s="2" t="s">
        <v>5307</v>
      </c>
      <c r="C6015" s="2" t="s">
        <v>5484</v>
      </c>
      <c r="D6015" s="3" t="str">
        <f t="shared" ref="D6015:D6016" si="1086">HYPERLINK("https://12go.asia/en/travel/Guzelbahce-Hotel-Transfer/Adnan-Menderes-Airport", "12Go Link")</f>
        <v>12Go Link</v>
      </c>
      <c r="E6015" s="2" t="s">
        <v>5304</v>
      </c>
    </row>
    <row r="6016">
      <c r="A6016" s="2" t="s">
        <v>5307</v>
      </c>
      <c r="B6016" s="2" t="s">
        <v>5307</v>
      </c>
      <c r="C6016" s="2" t="s">
        <v>5484</v>
      </c>
      <c r="D6016" s="3" t="str">
        <f t="shared" si="1086"/>
        <v>12Go Link</v>
      </c>
      <c r="E6016" s="2" t="s">
        <v>5305</v>
      </c>
    </row>
    <row r="6017">
      <c r="A6017" s="2" t="s">
        <v>5307</v>
      </c>
      <c r="B6017" s="2" t="s">
        <v>5307</v>
      </c>
      <c r="C6017" s="2" t="s">
        <v>5485</v>
      </c>
      <c r="D6017" s="3" t="str">
        <f t="shared" ref="D6017:D6018" si="1087">HYPERLINK("https://12go.asia/en/travel/Izmir-Hotel-Transfer/Adnan-Menderes-Airport", "12Go Link")</f>
        <v>12Go Link</v>
      </c>
      <c r="E6017" s="2" t="s">
        <v>5304</v>
      </c>
    </row>
    <row r="6018">
      <c r="A6018" s="2" t="s">
        <v>5307</v>
      </c>
      <c r="B6018" s="2" t="s">
        <v>5307</v>
      </c>
      <c r="C6018" s="2" t="s">
        <v>5485</v>
      </c>
      <c r="D6018" s="3" t="str">
        <f t="shared" si="1087"/>
        <v>12Go Link</v>
      </c>
      <c r="E6018" s="2" t="s">
        <v>5305</v>
      </c>
    </row>
    <row r="6019">
      <c r="A6019" s="2" t="s">
        <v>5307</v>
      </c>
      <c r="B6019" s="2" t="s">
        <v>5307</v>
      </c>
      <c r="C6019" s="2" t="s">
        <v>5486</v>
      </c>
      <c r="D6019" s="3" t="str">
        <f t="shared" ref="D6019:D6020" si="1088">HYPERLINK("https://12go.asia/en/travel/Karsiyaka-Hotel-Transfer/Adnan-Menderes-Airport", "12Go Link")</f>
        <v>12Go Link</v>
      </c>
      <c r="E6019" s="2" t="s">
        <v>5304</v>
      </c>
    </row>
    <row r="6020">
      <c r="A6020" s="2" t="s">
        <v>5307</v>
      </c>
      <c r="B6020" s="2" t="s">
        <v>5307</v>
      </c>
      <c r="C6020" s="2" t="s">
        <v>5486</v>
      </c>
      <c r="D6020" s="3" t="str">
        <f t="shared" si="1088"/>
        <v>12Go Link</v>
      </c>
      <c r="E6020" s="2" t="s">
        <v>5305</v>
      </c>
    </row>
    <row r="6021">
      <c r="A6021" s="2" t="s">
        <v>5307</v>
      </c>
      <c r="B6021" s="2" t="s">
        <v>5307</v>
      </c>
      <c r="C6021" s="2" t="s">
        <v>5487</v>
      </c>
      <c r="D6021" s="3" t="str">
        <f t="shared" ref="D6021:D6022" si="1089">HYPERLINK("https://12go.asia/en/travel/Kemalpasa-Hotel-Transfer/Adnan-Menderes-Airport", "12Go Link")</f>
        <v>12Go Link</v>
      </c>
      <c r="E6021" s="2" t="s">
        <v>5304</v>
      </c>
    </row>
    <row r="6022">
      <c r="A6022" s="2" t="s">
        <v>5307</v>
      </c>
      <c r="B6022" s="2" t="s">
        <v>5307</v>
      </c>
      <c r="C6022" s="2" t="s">
        <v>5487</v>
      </c>
      <c r="D6022" s="3" t="str">
        <f t="shared" si="1089"/>
        <v>12Go Link</v>
      </c>
      <c r="E6022" s="2" t="s">
        <v>5305</v>
      </c>
    </row>
    <row r="6023">
      <c r="A6023" s="2" t="s">
        <v>5307</v>
      </c>
      <c r="B6023" s="2" t="s">
        <v>5307</v>
      </c>
      <c r="C6023" s="2" t="s">
        <v>5488</v>
      </c>
      <c r="D6023" s="3" t="str">
        <f t="shared" ref="D6023:D6024" si="1090">HYPERLINK("https://12go.asia/en/travel/Konak-Hotel-Transfer/Adnan-Menderes-Airport", "12Go Link")</f>
        <v>12Go Link</v>
      </c>
      <c r="E6023" s="2" t="s">
        <v>5304</v>
      </c>
    </row>
    <row r="6024">
      <c r="A6024" s="2" t="s">
        <v>5307</v>
      </c>
      <c r="B6024" s="2" t="s">
        <v>5307</v>
      </c>
      <c r="C6024" s="2" t="s">
        <v>5488</v>
      </c>
      <c r="D6024" s="3" t="str">
        <f t="shared" si="1090"/>
        <v>12Go Link</v>
      </c>
      <c r="E6024" s="2" t="s">
        <v>5305</v>
      </c>
    </row>
    <row r="6025">
      <c r="A6025" s="2" t="s">
        <v>5307</v>
      </c>
      <c r="B6025" s="2" t="s">
        <v>5307</v>
      </c>
      <c r="C6025" s="2" t="s">
        <v>5489</v>
      </c>
      <c r="D6025" s="3" t="str">
        <f t="shared" ref="D6025:D6026" si="1091">HYPERLINK("https://12go.asia/en/travel/Mavisehir-Hotel-Transfer/Adnan-Menderes-Airport", "12Go Link")</f>
        <v>12Go Link</v>
      </c>
      <c r="E6025" s="2" t="s">
        <v>5304</v>
      </c>
    </row>
    <row r="6026">
      <c r="A6026" s="2" t="s">
        <v>5307</v>
      </c>
      <c r="B6026" s="2" t="s">
        <v>5307</v>
      </c>
      <c r="C6026" s="2" t="s">
        <v>5489</v>
      </c>
      <c r="D6026" s="3" t="str">
        <f t="shared" si="1091"/>
        <v>12Go Link</v>
      </c>
      <c r="E6026" s="2" t="s">
        <v>5305</v>
      </c>
    </row>
    <row r="6027">
      <c r="A6027" s="2" t="s">
        <v>5307</v>
      </c>
      <c r="B6027" s="2" t="s">
        <v>5307</v>
      </c>
      <c r="C6027" s="2" t="s">
        <v>5490</v>
      </c>
      <c r="D6027" s="3" t="str">
        <f t="shared" ref="D6027:D6028" si="1092">HYPERLINK("https://12go.asia/en/travel/Menemen-Hotel-Transfer/Adnan-Menderes-Airport", "12Go Link")</f>
        <v>12Go Link</v>
      </c>
      <c r="E6027" s="2" t="s">
        <v>5304</v>
      </c>
    </row>
    <row r="6028">
      <c r="A6028" s="2" t="s">
        <v>5307</v>
      </c>
      <c r="B6028" s="2" t="s">
        <v>5307</v>
      </c>
      <c r="C6028" s="2" t="s">
        <v>5490</v>
      </c>
      <c r="D6028" s="3" t="str">
        <f t="shared" si="1092"/>
        <v>12Go Link</v>
      </c>
      <c r="E6028" s="2" t="s">
        <v>5305</v>
      </c>
    </row>
    <row r="6029">
      <c r="A6029" s="2" t="s">
        <v>5307</v>
      </c>
      <c r="B6029" s="2" t="s">
        <v>5307</v>
      </c>
      <c r="C6029" s="2" t="s">
        <v>5491</v>
      </c>
      <c r="D6029" s="3" t="str">
        <f t="shared" ref="D6029:D6030" si="1093">HYPERLINK("https://12go.asia/en/travel/Narlidere-Hotel-Transfer/Adnan-Menderes-Airport", "12Go Link")</f>
        <v>12Go Link</v>
      </c>
      <c r="E6029" s="2" t="s">
        <v>5304</v>
      </c>
    </row>
    <row r="6030">
      <c r="A6030" s="2" t="s">
        <v>5307</v>
      </c>
      <c r="B6030" s="2" t="s">
        <v>5307</v>
      </c>
      <c r="C6030" s="2" t="s">
        <v>5491</v>
      </c>
      <c r="D6030" s="3" t="str">
        <f t="shared" si="1093"/>
        <v>12Go Link</v>
      </c>
      <c r="E6030" s="2" t="s">
        <v>5305</v>
      </c>
    </row>
    <row r="6031">
      <c r="A6031" s="2" t="s">
        <v>5307</v>
      </c>
      <c r="B6031" s="2" t="s">
        <v>5307</v>
      </c>
      <c r="C6031" s="2" t="s">
        <v>5492</v>
      </c>
      <c r="D6031" s="3" t="str">
        <f t="shared" ref="D6031:D6032" si="1094">HYPERLINK("https://12go.asia/en/travel/Sasali-Hotel-Transfer/Adnan-Menderes-Airport", "12Go Link")</f>
        <v>12Go Link</v>
      </c>
      <c r="E6031" s="2" t="s">
        <v>5304</v>
      </c>
    </row>
    <row r="6032">
      <c r="A6032" s="2" t="s">
        <v>5307</v>
      </c>
      <c r="B6032" s="2" t="s">
        <v>5307</v>
      </c>
      <c r="C6032" s="2" t="s">
        <v>5492</v>
      </c>
      <c r="D6032" s="3" t="str">
        <f t="shared" si="1094"/>
        <v>12Go Link</v>
      </c>
      <c r="E6032" s="2" t="s">
        <v>5305</v>
      </c>
    </row>
    <row r="6033">
      <c r="A6033" s="2" t="s">
        <v>5307</v>
      </c>
      <c r="B6033" s="2" t="s">
        <v>5307</v>
      </c>
      <c r="C6033" s="2" t="s">
        <v>5493</v>
      </c>
      <c r="D6033" s="3" t="str">
        <f t="shared" ref="D6033:D6034" si="1095">HYPERLINK("https://12go.asia/en/travel/Ulukent-Hotel-Transfer/Adnan-Menderes-Airport", "12Go Link")</f>
        <v>12Go Link</v>
      </c>
      <c r="E6033" s="2" t="s">
        <v>5304</v>
      </c>
    </row>
    <row r="6034">
      <c r="A6034" s="2" t="s">
        <v>5307</v>
      </c>
      <c r="B6034" s="2" t="s">
        <v>5307</v>
      </c>
      <c r="C6034" s="2" t="s">
        <v>5493</v>
      </c>
      <c r="D6034" s="3" t="str">
        <f t="shared" si="1095"/>
        <v>12Go Link</v>
      </c>
      <c r="E6034" s="2" t="s">
        <v>5305</v>
      </c>
    </row>
    <row r="6035">
      <c r="A6035" s="2" t="s">
        <v>5307</v>
      </c>
      <c r="B6035" s="2" t="s">
        <v>5494</v>
      </c>
      <c r="C6035" s="2" t="s">
        <v>5495</v>
      </c>
      <c r="D6035" s="3" t="str">
        <f t="shared" ref="D6035:D6036" si="1096">HYPERLINK("https://12go.asia/en/travel/Adnan-Menderes-Airport/Karaburun-Hotel-Transfer", "12Go Link")</f>
        <v>12Go Link</v>
      </c>
      <c r="E6035" s="2" t="s">
        <v>5304</v>
      </c>
    </row>
    <row r="6036">
      <c r="A6036" s="2" t="s">
        <v>5307</v>
      </c>
      <c r="B6036" s="2" t="s">
        <v>5494</v>
      </c>
      <c r="C6036" s="2" t="s">
        <v>5495</v>
      </c>
      <c r="D6036" s="3" t="str">
        <f t="shared" si="1096"/>
        <v>12Go Link</v>
      </c>
      <c r="E6036" s="2" t="s">
        <v>5305</v>
      </c>
    </row>
    <row r="6037">
      <c r="A6037" s="2" t="s">
        <v>5307</v>
      </c>
      <c r="B6037" s="2" t="s">
        <v>5496</v>
      </c>
      <c r="C6037" s="2" t="s">
        <v>5497</v>
      </c>
      <c r="D6037" s="3" t="str">
        <f t="shared" ref="D6037:D6038" si="1097">HYPERLINK("https://12go.asia/en/travel/Adnan-Menderes-Airport/Kusadasi-Hotel-Transfer", "12Go Link")</f>
        <v>12Go Link</v>
      </c>
      <c r="E6037" s="2" t="s">
        <v>5304</v>
      </c>
    </row>
    <row r="6038">
      <c r="A6038" s="2" t="s">
        <v>5307</v>
      </c>
      <c r="B6038" s="2" t="s">
        <v>5496</v>
      </c>
      <c r="C6038" s="2" t="s">
        <v>5497</v>
      </c>
      <c r="D6038" s="3" t="str">
        <f t="shared" si="1097"/>
        <v>12Go Link</v>
      </c>
      <c r="E6038" s="2" t="s">
        <v>5305</v>
      </c>
    </row>
    <row r="6039">
      <c r="A6039" s="2" t="s">
        <v>5307</v>
      </c>
      <c r="B6039" s="2" t="s">
        <v>5498</v>
      </c>
      <c r="C6039" s="2" t="s">
        <v>5499</v>
      </c>
      <c r="D6039" s="3" t="str">
        <f t="shared" ref="D6039:D6040" si="1098">HYPERLINK("https://12go.asia/en/travel/Adnan-Menderes-Airport/Mugla-Hotel-Transfer", "12Go Link")</f>
        <v>12Go Link</v>
      </c>
      <c r="E6039" s="2" t="s">
        <v>5304</v>
      </c>
    </row>
    <row r="6040">
      <c r="A6040" s="2" t="s">
        <v>5307</v>
      </c>
      <c r="B6040" s="2" t="s">
        <v>5498</v>
      </c>
      <c r="C6040" s="2" t="s">
        <v>5499</v>
      </c>
      <c r="D6040" s="3" t="str">
        <f t="shared" si="1098"/>
        <v>12Go Link</v>
      </c>
      <c r="E6040" s="2" t="s">
        <v>5305</v>
      </c>
    </row>
    <row r="6041">
      <c r="A6041" s="2" t="s">
        <v>5307</v>
      </c>
      <c r="B6041" s="2" t="s">
        <v>5500</v>
      </c>
      <c r="C6041" s="2" t="s">
        <v>5501</v>
      </c>
      <c r="D6041" s="3" t="str">
        <f t="shared" ref="D6041:D6042" si="1099">HYPERLINK("https://12go.asia/en/travel/Adnan-Menderes-Airport/Ozdere-Hotel-Transfer", "12Go Link")</f>
        <v>12Go Link</v>
      </c>
      <c r="E6041" s="2" t="s">
        <v>5304</v>
      </c>
    </row>
    <row r="6042">
      <c r="A6042" s="2" t="s">
        <v>5307</v>
      </c>
      <c r="B6042" s="2" t="s">
        <v>5500</v>
      </c>
      <c r="C6042" s="2" t="s">
        <v>5501</v>
      </c>
      <c r="D6042" s="3" t="str">
        <f t="shared" si="1099"/>
        <v>12Go Link</v>
      </c>
      <c r="E6042" s="2" t="s">
        <v>5305</v>
      </c>
    </row>
    <row r="6043">
      <c r="A6043" s="2" t="s">
        <v>5307</v>
      </c>
      <c r="B6043" s="2" t="s">
        <v>5502</v>
      </c>
      <c r="C6043" s="2" t="s">
        <v>5503</v>
      </c>
      <c r="D6043" s="3" t="str">
        <f t="shared" ref="D6043:D6044" si="1100">HYPERLINK("https://12go.asia/en/travel/Adnan-Menderes-Airport/Seferihisar-Hotel-Transfer", "12Go Link")</f>
        <v>12Go Link</v>
      </c>
      <c r="E6043" s="2" t="s">
        <v>5304</v>
      </c>
    </row>
    <row r="6044">
      <c r="A6044" s="2" t="s">
        <v>5307</v>
      </c>
      <c r="B6044" s="2" t="s">
        <v>5502</v>
      </c>
      <c r="C6044" s="2" t="s">
        <v>5503</v>
      </c>
      <c r="D6044" s="3" t="str">
        <f t="shared" si="1100"/>
        <v>12Go Link</v>
      </c>
      <c r="E6044" s="2" t="s">
        <v>5305</v>
      </c>
    </row>
    <row r="6045">
      <c r="A6045" s="2" t="s">
        <v>5307</v>
      </c>
      <c r="B6045" s="2" t="s">
        <v>5504</v>
      </c>
      <c r="C6045" s="2" t="s">
        <v>5505</v>
      </c>
      <c r="D6045" s="3" t="str">
        <f t="shared" ref="D6045:D6046" si="1101">HYPERLINK("https://12go.asia/en/travel/Adnan-Menderes-Airport/Selcuk-Hotel-Transfer", "12Go Link")</f>
        <v>12Go Link</v>
      </c>
      <c r="E6045" s="2" t="s">
        <v>5304</v>
      </c>
    </row>
    <row r="6046">
      <c r="A6046" s="2" t="s">
        <v>5307</v>
      </c>
      <c r="B6046" s="2" t="s">
        <v>5504</v>
      </c>
      <c r="C6046" s="2" t="s">
        <v>5505</v>
      </c>
      <c r="D6046" s="3" t="str">
        <f t="shared" si="1101"/>
        <v>12Go Link</v>
      </c>
      <c r="E6046" s="2" t="s">
        <v>5305</v>
      </c>
    </row>
    <row r="6047">
      <c r="A6047" s="2" t="s">
        <v>5307</v>
      </c>
      <c r="B6047" s="2" t="s">
        <v>5506</v>
      </c>
      <c r="C6047" s="2" t="s">
        <v>5507</v>
      </c>
      <c r="D6047" s="3" t="str">
        <f t="shared" ref="D6047:D6048" si="1102">HYPERLINK("https://12go.asia/en/travel/Adnan-Menderes-Airport/Sigacik-Hotel-Transfer", "12Go Link")</f>
        <v>12Go Link</v>
      </c>
      <c r="E6047" s="2" t="s">
        <v>5304</v>
      </c>
    </row>
    <row r="6048">
      <c r="A6048" s="2" t="s">
        <v>5307</v>
      </c>
      <c r="B6048" s="2" t="s">
        <v>5506</v>
      </c>
      <c r="C6048" s="2" t="s">
        <v>5507</v>
      </c>
      <c r="D6048" s="3" t="str">
        <f t="shared" si="1102"/>
        <v>12Go Link</v>
      </c>
      <c r="E6048" s="2" t="s">
        <v>5305</v>
      </c>
    </row>
    <row r="6049">
      <c r="A6049" s="2" t="s">
        <v>5307</v>
      </c>
      <c r="B6049" s="2" t="s">
        <v>5508</v>
      </c>
      <c r="C6049" s="2" t="s">
        <v>5509</v>
      </c>
      <c r="D6049" s="3" t="str">
        <f t="shared" ref="D6049:D6050" si="1103">HYPERLINK("https://12go.asia/en/travel/Adnan-Menderes-Airport/Soke-Hotel-Transfer", "12Go Link")</f>
        <v>12Go Link</v>
      </c>
      <c r="E6049" s="2" t="s">
        <v>5304</v>
      </c>
    </row>
    <row r="6050">
      <c r="A6050" s="2" t="s">
        <v>5307</v>
      </c>
      <c r="B6050" s="2" t="s">
        <v>5508</v>
      </c>
      <c r="C6050" s="2" t="s">
        <v>5509</v>
      </c>
      <c r="D6050" s="3" t="str">
        <f t="shared" si="1103"/>
        <v>12Go Link</v>
      </c>
      <c r="E6050" s="2" t="s">
        <v>5305</v>
      </c>
    </row>
    <row r="6051">
      <c r="A6051" s="2" t="s">
        <v>5307</v>
      </c>
      <c r="B6051" s="2" t="s">
        <v>5510</v>
      </c>
      <c r="C6051" s="2" t="s">
        <v>5511</v>
      </c>
      <c r="D6051" s="3" t="str">
        <f t="shared" ref="D6051:D6052" si="1104">HYPERLINK("https://12go.asia/en/travel/Adnan-Menderes-Airport/Urla-Hotel-Transfer", "12Go Link")</f>
        <v>12Go Link</v>
      </c>
      <c r="E6051" s="2" t="s">
        <v>5304</v>
      </c>
    </row>
    <row r="6052">
      <c r="A6052" s="2" t="s">
        <v>5307</v>
      </c>
      <c r="B6052" s="2" t="s">
        <v>5510</v>
      </c>
      <c r="C6052" s="2" t="s">
        <v>5511</v>
      </c>
      <c r="D6052" s="3" t="str">
        <f t="shared" si="1104"/>
        <v>12Go Link</v>
      </c>
      <c r="E6052" s="2" t="s">
        <v>5305</v>
      </c>
    </row>
    <row r="6053">
      <c r="A6053" s="2" t="s">
        <v>5494</v>
      </c>
      <c r="B6053" s="2" t="s">
        <v>5307</v>
      </c>
      <c r="C6053" s="2" t="s">
        <v>5512</v>
      </c>
      <c r="D6053" s="3" t="str">
        <f t="shared" ref="D6053:D6054" si="1105">HYPERLINK("https://12go.asia/en/travel/Karaburun-Hotel-Transfer/Adnan-Menderes-Airport", "12Go Link")</f>
        <v>12Go Link</v>
      </c>
      <c r="E6053" s="2" t="s">
        <v>5304</v>
      </c>
    </row>
    <row r="6054">
      <c r="A6054" s="2" t="s">
        <v>5494</v>
      </c>
      <c r="B6054" s="2" t="s">
        <v>5307</v>
      </c>
      <c r="C6054" s="2" t="s">
        <v>5512</v>
      </c>
      <c r="D6054" s="3" t="str">
        <f t="shared" si="1105"/>
        <v>12Go Link</v>
      </c>
      <c r="E6054" s="2" t="s">
        <v>5305</v>
      </c>
    </row>
    <row r="6055">
      <c r="A6055" s="2" t="s">
        <v>5318</v>
      </c>
      <c r="B6055" s="2" t="s">
        <v>5309</v>
      </c>
      <c r="C6055" s="2" t="s">
        <v>5513</v>
      </c>
      <c r="D6055" s="3" t="str">
        <f t="shared" ref="D6055:D6056" si="1106">HYPERLINK("https://12go.asia/en/travel/Kargicak-Hotel-Transfer/Gazipasa-Alanya-Airport", "12Go Link")</f>
        <v>12Go Link</v>
      </c>
      <c r="E6055" s="2" t="s">
        <v>5304</v>
      </c>
    </row>
    <row r="6056">
      <c r="A6056" s="2" t="s">
        <v>5318</v>
      </c>
      <c r="B6056" s="2" t="s">
        <v>5309</v>
      </c>
      <c r="C6056" s="2" t="s">
        <v>5513</v>
      </c>
      <c r="D6056" s="3" t="str">
        <f t="shared" si="1106"/>
        <v>12Go Link</v>
      </c>
      <c r="E6056" s="2" t="s">
        <v>5305</v>
      </c>
    </row>
    <row r="6057">
      <c r="A6057" s="2" t="s">
        <v>5318</v>
      </c>
      <c r="B6057" s="2" t="s">
        <v>5346</v>
      </c>
      <c r="C6057" s="2" t="s">
        <v>5514</v>
      </c>
      <c r="D6057" s="3" t="str">
        <f t="shared" ref="D6057:D6058" si="1107">HYPERLINK("https://12go.asia/en/travel/Kargicak-Hotel-Transfer/Antalya-Airport", "12Go Link")</f>
        <v>12Go Link</v>
      </c>
      <c r="E6057" s="2" t="s">
        <v>5304</v>
      </c>
    </row>
    <row r="6058">
      <c r="A6058" s="2" t="s">
        <v>5318</v>
      </c>
      <c r="B6058" s="2" t="s">
        <v>5346</v>
      </c>
      <c r="C6058" s="2" t="s">
        <v>5514</v>
      </c>
      <c r="D6058" s="3" t="str">
        <f t="shared" si="1107"/>
        <v>12Go Link</v>
      </c>
      <c r="E6058" s="2" t="s">
        <v>5305</v>
      </c>
    </row>
    <row r="6059">
      <c r="A6059" s="2" t="s">
        <v>5320</v>
      </c>
      <c r="B6059" s="2" t="s">
        <v>5309</v>
      </c>
      <c r="C6059" s="2" t="s">
        <v>5515</v>
      </c>
      <c r="D6059" s="3" t="str">
        <f t="shared" ref="D6059:D6060" si="1108">HYPERLINK("https://12go.asia/en/travel/Kestel-Hotel-Transfer/Gazipasa-Alanya-Airport", "12Go Link")</f>
        <v>12Go Link</v>
      </c>
      <c r="E6059" s="2" t="s">
        <v>5304</v>
      </c>
    </row>
    <row r="6060">
      <c r="A6060" s="2" t="s">
        <v>5320</v>
      </c>
      <c r="B6060" s="2" t="s">
        <v>5309</v>
      </c>
      <c r="C6060" s="2" t="s">
        <v>5515</v>
      </c>
      <c r="D6060" s="3" t="str">
        <f t="shared" si="1108"/>
        <v>12Go Link</v>
      </c>
      <c r="E6060" s="2" t="s">
        <v>5305</v>
      </c>
    </row>
    <row r="6061">
      <c r="A6061" s="2" t="s">
        <v>5320</v>
      </c>
      <c r="B6061" s="2" t="s">
        <v>5346</v>
      </c>
      <c r="C6061" s="2" t="s">
        <v>5516</v>
      </c>
      <c r="D6061" s="3" t="str">
        <f t="shared" ref="D6061:D6062" si="1109">HYPERLINK("https://12go.asia/en/travel/Kestel-Hotel-Transfer/Antalya-Airport", "12Go Link")</f>
        <v>12Go Link</v>
      </c>
      <c r="E6061" s="2" t="s">
        <v>5304</v>
      </c>
    </row>
    <row r="6062">
      <c r="A6062" s="2" t="s">
        <v>5320</v>
      </c>
      <c r="B6062" s="2" t="s">
        <v>5346</v>
      </c>
      <c r="C6062" s="2" t="s">
        <v>5516</v>
      </c>
      <c r="D6062" s="3" t="str">
        <f t="shared" si="1109"/>
        <v>12Go Link</v>
      </c>
      <c r="E6062" s="2" t="s">
        <v>5305</v>
      </c>
    </row>
    <row r="6063">
      <c r="A6063" s="2" t="s">
        <v>5322</v>
      </c>
      <c r="B6063" s="2" t="s">
        <v>5309</v>
      </c>
      <c r="C6063" s="2" t="s">
        <v>5517</v>
      </c>
      <c r="D6063" s="3" t="str">
        <f t="shared" ref="D6063:D6064" si="1110">HYPERLINK("https://12go.asia/en/travel/Kizilagac-Hotel-Transfer/Gazipasa-Alanya-Airport", "12Go Link")</f>
        <v>12Go Link</v>
      </c>
      <c r="E6063" s="2" t="s">
        <v>5304</v>
      </c>
    </row>
    <row r="6064">
      <c r="A6064" s="2" t="s">
        <v>5322</v>
      </c>
      <c r="B6064" s="2" t="s">
        <v>5309</v>
      </c>
      <c r="C6064" s="2" t="s">
        <v>5517</v>
      </c>
      <c r="D6064" s="3" t="str">
        <f t="shared" si="1110"/>
        <v>12Go Link</v>
      </c>
      <c r="E6064" s="2" t="s">
        <v>5305</v>
      </c>
    </row>
    <row r="6065">
      <c r="A6065" s="2" t="s">
        <v>5324</v>
      </c>
      <c r="B6065" s="2" t="s">
        <v>5309</v>
      </c>
      <c r="C6065" s="2" t="s">
        <v>5518</v>
      </c>
      <c r="D6065" s="3" t="str">
        <f t="shared" ref="D6065:D6066" si="1111">HYPERLINK("https://12go.asia/en/travel/Kizilot-Hotel-Transfer/Gazipasa-Alanya-Airport", "12Go Link")</f>
        <v>12Go Link</v>
      </c>
      <c r="E6065" s="2" t="s">
        <v>5304</v>
      </c>
    </row>
    <row r="6066">
      <c r="A6066" s="2" t="s">
        <v>5324</v>
      </c>
      <c r="B6066" s="2" t="s">
        <v>5309</v>
      </c>
      <c r="C6066" s="2" t="s">
        <v>5518</v>
      </c>
      <c r="D6066" s="3" t="str">
        <f t="shared" si="1111"/>
        <v>12Go Link</v>
      </c>
      <c r="E6066" s="2" t="s">
        <v>5305</v>
      </c>
    </row>
    <row r="6067">
      <c r="A6067" s="2" t="s">
        <v>5326</v>
      </c>
      <c r="B6067" s="2" t="s">
        <v>5309</v>
      </c>
      <c r="C6067" s="2" t="s">
        <v>5519</v>
      </c>
      <c r="D6067" s="3" t="str">
        <f t="shared" ref="D6067:D6068" si="1112">HYPERLINK("https://12go.asia/en/travel/Konakli-Hotel-Transfer/Gazipasa-Alanya-Airport", "12Go Link")</f>
        <v>12Go Link</v>
      </c>
      <c r="E6067" s="2" t="s">
        <v>5304</v>
      </c>
    </row>
    <row r="6068">
      <c r="A6068" s="2" t="s">
        <v>5326</v>
      </c>
      <c r="B6068" s="2" t="s">
        <v>5309</v>
      </c>
      <c r="C6068" s="2" t="s">
        <v>5519</v>
      </c>
      <c r="D6068" s="3" t="str">
        <f t="shared" si="1112"/>
        <v>12Go Link</v>
      </c>
      <c r="E6068" s="2" t="s">
        <v>5305</v>
      </c>
    </row>
    <row r="6069">
      <c r="A6069" s="2" t="s">
        <v>5326</v>
      </c>
      <c r="B6069" s="2" t="s">
        <v>5346</v>
      </c>
      <c r="C6069" s="2" t="s">
        <v>5520</v>
      </c>
      <c r="D6069" s="3" t="str">
        <f t="shared" ref="D6069:D6070" si="1113">HYPERLINK("https://12go.asia/en/travel/Konakli-Hotel-Transfer/Antalya-Airport", "12Go Link")</f>
        <v>12Go Link</v>
      </c>
      <c r="E6069" s="2" t="s">
        <v>5304</v>
      </c>
    </row>
    <row r="6070">
      <c r="A6070" s="2" t="s">
        <v>5326</v>
      </c>
      <c r="B6070" s="2" t="s">
        <v>5346</v>
      </c>
      <c r="C6070" s="2" t="s">
        <v>5520</v>
      </c>
      <c r="D6070" s="3" t="str">
        <f t="shared" si="1113"/>
        <v>12Go Link</v>
      </c>
      <c r="E6070" s="2" t="s">
        <v>5305</v>
      </c>
    </row>
    <row r="6071">
      <c r="A6071" s="2" t="s">
        <v>5496</v>
      </c>
      <c r="B6071" s="2" t="s">
        <v>5307</v>
      </c>
      <c r="C6071" s="2" t="s">
        <v>5521</v>
      </c>
      <c r="D6071" s="3" t="str">
        <f t="shared" ref="D6071:D6072" si="1114">HYPERLINK("https://12go.asia/en/travel/Kusadasi-Hotel-Transfer/Adnan-Menderes-Airport", "12Go Link")</f>
        <v>12Go Link</v>
      </c>
      <c r="E6071" s="2" t="s">
        <v>5304</v>
      </c>
    </row>
    <row r="6072">
      <c r="A6072" s="2" t="s">
        <v>5496</v>
      </c>
      <c r="B6072" s="2" t="s">
        <v>5307</v>
      </c>
      <c r="C6072" s="2" t="s">
        <v>5521</v>
      </c>
      <c r="D6072" s="3" t="str">
        <f t="shared" si="1114"/>
        <v>12Go Link</v>
      </c>
      <c r="E6072" s="2" t="s">
        <v>5305</v>
      </c>
    </row>
    <row r="6073">
      <c r="A6073" s="2" t="s">
        <v>5328</v>
      </c>
      <c r="B6073" s="2" t="s">
        <v>5309</v>
      </c>
      <c r="C6073" s="2" t="s">
        <v>5522</v>
      </c>
      <c r="D6073" s="3" t="str">
        <f t="shared" ref="D6073:D6074" si="1115">HYPERLINK("https://12go.asia/en/travel/Mahmutlar-Hotel-Transfer/Gazipasa-Alanya-Airport", "12Go Link")</f>
        <v>12Go Link</v>
      </c>
      <c r="E6073" s="2" t="s">
        <v>5304</v>
      </c>
    </row>
    <row r="6074">
      <c r="A6074" s="2" t="s">
        <v>5328</v>
      </c>
      <c r="B6074" s="2" t="s">
        <v>5309</v>
      </c>
      <c r="C6074" s="2" t="s">
        <v>5522</v>
      </c>
      <c r="D6074" s="3" t="str">
        <f t="shared" si="1115"/>
        <v>12Go Link</v>
      </c>
      <c r="E6074" s="2" t="s">
        <v>5305</v>
      </c>
    </row>
    <row r="6075">
      <c r="A6075" s="2" t="s">
        <v>5328</v>
      </c>
      <c r="B6075" s="2" t="s">
        <v>5346</v>
      </c>
      <c r="C6075" s="2" t="s">
        <v>5523</v>
      </c>
      <c r="D6075" s="3" t="str">
        <f t="shared" ref="D6075:D6076" si="1116">HYPERLINK("https://12go.asia/en/travel/Mahmutlar-Hotel-Transfer/Antalya-Airport", "12Go Link")</f>
        <v>12Go Link</v>
      </c>
      <c r="E6075" s="2" t="s">
        <v>5304</v>
      </c>
    </row>
    <row r="6076">
      <c r="A6076" s="2" t="s">
        <v>5328</v>
      </c>
      <c r="B6076" s="2" t="s">
        <v>5346</v>
      </c>
      <c r="C6076" s="2" t="s">
        <v>5523</v>
      </c>
      <c r="D6076" s="3" t="str">
        <f t="shared" si="1116"/>
        <v>12Go Link</v>
      </c>
      <c r="E6076" s="2" t="s">
        <v>5305</v>
      </c>
    </row>
    <row r="6077">
      <c r="A6077" s="2" t="s">
        <v>5353</v>
      </c>
      <c r="B6077" s="2" t="s">
        <v>5346</v>
      </c>
      <c r="C6077" s="2" t="s">
        <v>5524</v>
      </c>
      <c r="D6077" s="3" t="str">
        <f t="shared" ref="D6077:D6078" si="1117">HYPERLINK("https://12go.asia/en/travel/Sorgun-Hotel-Transfer/Antalya-Airport", "12Go Link")</f>
        <v>12Go Link</v>
      </c>
      <c r="E6077" s="2" t="s">
        <v>5304</v>
      </c>
    </row>
    <row r="6078">
      <c r="A6078" s="2" t="s">
        <v>5353</v>
      </c>
      <c r="B6078" s="2" t="s">
        <v>5346</v>
      </c>
      <c r="C6078" s="2" t="s">
        <v>5524</v>
      </c>
      <c r="D6078" s="3" t="str">
        <f t="shared" si="1117"/>
        <v>12Go Link</v>
      </c>
      <c r="E6078" s="2" t="s">
        <v>5305</v>
      </c>
    </row>
    <row r="6079">
      <c r="A6079" s="2" t="s">
        <v>5393</v>
      </c>
      <c r="B6079" s="2" t="s">
        <v>5302</v>
      </c>
      <c r="C6079" s="2" t="s">
        <v>5525</v>
      </c>
      <c r="D6079" s="3" t="str">
        <f t="shared" ref="D6079:D6080" si="1118">HYPERLINK("https://12go.asia/en/travel/Marmaris-Hotel-Transfer/Bodrum-Milas-Airport", "12Go Link")</f>
        <v>12Go Link</v>
      </c>
      <c r="E6079" s="2" t="s">
        <v>5304</v>
      </c>
    </row>
    <row r="6080">
      <c r="A6080" s="2" t="s">
        <v>5393</v>
      </c>
      <c r="B6080" s="2" t="s">
        <v>5302</v>
      </c>
      <c r="C6080" s="2" t="s">
        <v>5525</v>
      </c>
      <c r="D6080" s="3" t="str">
        <f t="shared" si="1118"/>
        <v>12Go Link</v>
      </c>
      <c r="E6080" s="2" t="s">
        <v>5305</v>
      </c>
    </row>
    <row r="6081">
      <c r="A6081" s="2" t="s">
        <v>5395</v>
      </c>
      <c r="B6081" s="2" t="s">
        <v>5302</v>
      </c>
      <c r="C6081" s="2" t="s">
        <v>5526</v>
      </c>
      <c r="D6081" s="3" t="str">
        <f t="shared" ref="D6081:D6082" si="1119">HYPERLINK("https://12go.asia/en/travel/Adabuku-Hotel-Transfer/Bodrum-Milas-Airport", "12Go Link")</f>
        <v>12Go Link</v>
      </c>
      <c r="E6081" s="2" t="s">
        <v>5304</v>
      </c>
    </row>
    <row r="6082">
      <c r="A6082" s="2" t="s">
        <v>5395</v>
      </c>
      <c r="B6082" s="2" t="s">
        <v>5302</v>
      </c>
      <c r="C6082" s="2" t="s">
        <v>5526</v>
      </c>
      <c r="D6082" s="3" t="str">
        <f t="shared" si="1119"/>
        <v>12Go Link</v>
      </c>
      <c r="E6082" s="2" t="s">
        <v>5305</v>
      </c>
    </row>
    <row r="6083">
      <c r="A6083" s="2" t="s">
        <v>5395</v>
      </c>
      <c r="B6083" s="2" t="s">
        <v>5302</v>
      </c>
      <c r="C6083" s="2" t="s">
        <v>5527</v>
      </c>
      <c r="D6083" s="3" t="str">
        <f t="shared" ref="D6083:D6084" si="1120">HYPERLINK("https://12go.asia/en/travel/Kaplankaya-Hotel-Transfer/Bodrum-Milas-Airport", "12Go Link")</f>
        <v>12Go Link</v>
      </c>
      <c r="E6083" s="2" t="s">
        <v>5304</v>
      </c>
    </row>
    <row r="6084">
      <c r="A6084" s="2" t="s">
        <v>5395</v>
      </c>
      <c r="B6084" s="2" t="s">
        <v>5302</v>
      </c>
      <c r="C6084" s="2" t="s">
        <v>5527</v>
      </c>
      <c r="D6084" s="3" t="str">
        <f t="shared" si="1120"/>
        <v>12Go Link</v>
      </c>
      <c r="E6084" s="2" t="s">
        <v>5305</v>
      </c>
    </row>
    <row r="6085">
      <c r="A6085" s="2" t="s">
        <v>5498</v>
      </c>
      <c r="B6085" s="2" t="s">
        <v>5307</v>
      </c>
      <c r="C6085" s="2" t="s">
        <v>5528</v>
      </c>
      <c r="D6085" s="3" t="str">
        <f t="shared" ref="D6085:D6086" si="1121">HYPERLINK("https://12go.asia/en/travel/Mugla-Hotel-Transfer/Adnan-Menderes-Airport", "12Go Link")</f>
        <v>12Go Link</v>
      </c>
      <c r="E6085" s="2" t="s">
        <v>5304</v>
      </c>
    </row>
    <row r="6086">
      <c r="A6086" s="2" t="s">
        <v>5498</v>
      </c>
      <c r="B6086" s="2" t="s">
        <v>5307</v>
      </c>
      <c r="C6086" s="2" t="s">
        <v>5528</v>
      </c>
      <c r="D6086" s="3" t="str">
        <f t="shared" si="1121"/>
        <v>12Go Link</v>
      </c>
      <c r="E6086" s="2" t="s">
        <v>5305</v>
      </c>
    </row>
    <row r="6087">
      <c r="A6087" s="2" t="s">
        <v>5330</v>
      </c>
      <c r="B6087" s="2" t="s">
        <v>5309</v>
      </c>
      <c r="C6087" s="2" t="s">
        <v>5529</v>
      </c>
      <c r="D6087" s="3" t="str">
        <f t="shared" ref="D6087:D6088" si="1122">HYPERLINK("https://12go.asia/en/travel/Oba-Hotel-Transfer/Gazipasa-Alanya-Airport", "12Go Link")</f>
        <v>12Go Link</v>
      </c>
      <c r="E6087" s="2" t="s">
        <v>5304</v>
      </c>
    </row>
    <row r="6088">
      <c r="A6088" s="2" t="s">
        <v>5330</v>
      </c>
      <c r="B6088" s="2" t="s">
        <v>5309</v>
      </c>
      <c r="C6088" s="2" t="s">
        <v>5529</v>
      </c>
      <c r="D6088" s="3" t="str">
        <f t="shared" si="1122"/>
        <v>12Go Link</v>
      </c>
      <c r="E6088" s="2" t="s">
        <v>5305</v>
      </c>
    </row>
    <row r="6089">
      <c r="A6089" s="2" t="s">
        <v>5332</v>
      </c>
      <c r="B6089" s="2" t="s">
        <v>5309</v>
      </c>
      <c r="C6089" s="2" t="s">
        <v>5530</v>
      </c>
      <c r="D6089" s="3" t="str">
        <f t="shared" ref="D6089:D6090" si="1123">HYPERLINK("https://12go.asia/en/travel/Okurcalar-Hotel-Transfer/Gazipasa-Alanya-Airport", "12Go Link")</f>
        <v>12Go Link</v>
      </c>
      <c r="E6089" s="2" t="s">
        <v>5304</v>
      </c>
    </row>
    <row r="6090">
      <c r="A6090" s="2" t="s">
        <v>5332</v>
      </c>
      <c r="B6090" s="2" t="s">
        <v>5309</v>
      </c>
      <c r="C6090" s="2" t="s">
        <v>5530</v>
      </c>
      <c r="D6090" s="3" t="str">
        <f t="shared" si="1123"/>
        <v>12Go Link</v>
      </c>
      <c r="E6090" s="2" t="s">
        <v>5305</v>
      </c>
    </row>
    <row r="6091">
      <c r="A6091" s="2" t="s">
        <v>5334</v>
      </c>
      <c r="B6091" s="2" t="s">
        <v>5309</v>
      </c>
      <c r="C6091" s="2" t="s">
        <v>5531</v>
      </c>
      <c r="D6091" s="3" t="str">
        <f t="shared" ref="D6091:D6092" si="1124">HYPERLINK("https://12go.asia/en/travel/Orensehir-Hotel-Transfer/Gazipasa-Alanya-Airport", "12Go Link")</f>
        <v>12Go Link</v>
      </c>
      <c r="E6091" s="2" t="s">
        <v>5304</v>
      </c>
    </row>
    <row r="6092">
      <c r="A6092" s="2" t="s">
        <v>5334</v>
      </c>
      <c r="B6092" s="2" t="s">
        <v>5309</v>
      </c>
      <c r="C6092" s="2" t="s">
        <v>5531</v>
      </c>
      <c r="D6092" s="3" t="str">
        <f t="shared" si="1124"/>
        <v>12Go Link</v>
      </c>
      <c r="E6092" s="2" t="s">
        <v>5305</v>
      </c>
    </row>
    <row r="6093">
      <c r="A6093" s="2" t="s">
        <v>5334</v>
      </c>
      <c r="B6093" s="2" t="s">
        <v>5346</v>
      </c>
      <c r="C6093" s="2" t="s">
        <v>5532</v>
      </c>
      <c r="D6093" s="3" t="str">
        <f t="shared" ref="D6093:D6094" si="1125">HYPERLINK("https://12go.asia/en/travel/Orensehir-Hotel-Transfer/Antalya-Airport", "12Go Link")</f>
        <v>12Go Link</v>
      </c>
      <c r="E6093" s="2" t="s">
        <v>5304</v>
      </c>
    </row>
    <row r="6094">
      <c r="A6094" s="2" t="s">
        <v>5334</v>
      </c>
      <c r="B6094" s="2" t="s">
        <v>5346</v>
      </c>
      <c r="C6094" s="2" t="s">
        <v>5532</v>
      </c>
      <c r="D6094" s="3" t="str">
        <f t="shared" si="1125"/>
        <v>12Go Link</v>
      </c>
      <c r="E6094" s="2" t="s">
        <v>5305</v>
      </c>
    </row>
    <row r="6095">
      <c r="A6095" s="2" t="s">
        <v>5415</v>
      </c>
      <c r="B6095" s="2" t="s">
        <v>5381</v>
      </c>
      <c r="C6095" s="2" t="s">
        <v>5533</v>
      </c>
      <c r="D6095" s="3" t="str">
        <f t="shared" ref="D6095:D6096" si="1126">HYPERLINK("https://12go.asia/en/travel/Ortaca-Hotel-Transfer/Dalaman-Airport", "12Go Link")</f>
        <v>12Go Link</v>
      </c>
      <c r="E6095" s="2" t="s">
        <v>5304</v>
      </c>
    </row>
    <row r="6096">
      <c r="A6096" s="2" t="s">
        <v>5415</v>
      </c>
      <c r="B6096" s="2" t="s">
        <v>5381</v>
      </c>
      <c r="C6096" s="2" t="s">
        <v>5533</v>
      </c>
      <c r="D6096" s="3" t="str">
        <f t="shared" si="1126"/>
        <v>12Go Link</v>
      </c>
      <c r="E6096" s="2" t="s">
        <v>5305</v>
      </c>
    </row>
    <row r="6097">
      <c r="A6097" s="2" t="s">
        <v>5500</v>
      </c>
      <c r="B6097" s="2" t="s">
        <v>5307</v>
      </c>
      <c r="C6097" s="2" t="s">
        <v>5534</v>
      </c>
      <c r="D6097" s="3" t="str">
        <f t="shared" ref="D6097:D6098" si="1127">HYPERLINK("https://12go.asia/en/travel/Ozdere-Hotel-Transfer/Adnan-Menderes-Airport", "12Go Link")</f>
        <v>12Go Link</v>
      </c>
      <c r="E6097" s="2" t="s">
        <v>5304</v>
      </c>
    </row>
    <row r="6098">
      <c r="A6098" s="2" t="s">
        <v>5500</v>
      </c>
      <c r="B6098" s="2" t="s">
        <v>5307</v>
      </c>
      <c r="C6098" s="2" t="s">
        <v>5534</v>
      </c>
      <c r="D6098" s="3" t="str">
        <f t="shared" si="1127"/>
        <v>12Go Link</v>
      </c>
      <c r="E6098" s="2" t="s">
        <v>5305</v>
      </c>
    </row>
    <row r="6099">
      <c r="A6099" s="2" t="s">
        <v>5336</v>
      </c>
      <c r="B6099" s="2" t="s">
        <v>5309</v>
      </c>
      <c r="C6099" s="2" t="s">
        <v>5535</v>
      </c>
      <c r="D6099" s="3" t="str">
        <f t="shared" ref="D6099:D6100" si="1128">HYPERLINK("https://12go.asia/en/travel/Payallar-Hotel-Transfer/Gazipasa-Alanya-Airport", "12Go Link")</f>
        <v>12Go Link</v>
      </c>
      <c r="E6099" s="2" t="s">
        <v>5304</v>
      </c>
    </row>
    <row r="6100">
      <c r="A6100" s="2" t="s">
        <v>5336</v>
      </c>
      <c r="B6100" s="2" t="s">
        <v>5309</v>
      </c>
      <c r="C6100" s="2" t="s">
        <v>5535</v>
      </c>
      <c r="D6100" s="3" t="str">
        <f t="shared" si="1128"/>
        <v>12Go Link</v>
      </c>
      <c r="E6100" s="2" t="s">
        <v>5305</v>
      </c>
    </row>
    <row r="6101">
      <c r="A6101" s="2" t="s">
        <v>5336</v>
      </c>
      <c r="B6101" s="2" t="s">
        <v>5346</v>
      </c>
      <c r="C6101" s="2" t="s">
        <v>5536</v>
      </c>
      <c r="D6101" s="3" t="str">
        <f t="shared" ref="D6101:D6102" si="1129">HYPERLINK("https://12go.asia/en/travel/Payallar-Hotel-Transfer/Antalya-Airport", "12Go Link")</f>
        <v>12Go Link</v>
      </c>
      <c r="E6101" s="2" t="s">
        <v>5304</v>
      </c>
    </row>
    <row r="6102">
      <c r="A6102" s="2" t="s">
        <v>5336</v>
      </c>
      <c r="B6102" s="2" t="s">
        <v>5346</v>
      </c>
      <c r="C6102" s="2" t="s">
        <v>5536</v>
      </c>
      <c r="D6102" s="3" t="str">
        <f t="shared" si="1129"/>
        <v>12Go Link</v>
      </c>
      <c r="E6102" s="2" t="s">
        <v>5305</v>
      </c>
    </row>
    <row r="6103">
      <c r="A6103" s="2" t="s">
        <v>5502</v>
      </c>
      <c r="B6103" s="2" t="s">
        <v>5307</v>
      </c>
      <c r="C6103" s="2" t="s">
        <v>5537</v>
      </c>
      <c r="D6103" s="3" t="str">
        <f t="shared" ref="D6103:D6104" si="1130">HYPERLINK("https://12go.asia/en/travel/Seferihisar-Hotel-Transfer/Adnan-Menderes-Airport", "12Go Link")</f>
        <v>12Go Link</v>
      </c>
      <c r="E6103" s="2" t="s">
        <v>5304</v>
      </c>
    </row>
    <row r="6104">
      <c r="A6104" s="2" t="s">
        <v>5502</v>
      </c>
      <c r="B6104" s="2" t="s">
        <v>5307</v>
      </c>
      <c r="C6104" s="2" t="s">
        <v>5537</v>
      </c>
      <c r="D6104" s="3" t="str">
        <f t="shared" si="1130"/>
        <v>12Go Link</v>
      </c>
      <c r="E6104" s="2" t="s">
        <v>5305</v>
      </c>
    </row>
    <row r="6105">
      <c r="A6105" s="2" t="s">
        <v>5504</v>
      </c>
      <c r="B6105" s="2" t="s">
        <v>5307</v>
      </c>
      <c r="C6105" s="2" t="s">
        <v>5538</v>
      </c>
      <c r="D6105" s="3" t="str">
        <f t="shared" ref="D6105:D6106" si="1131">HYPERLINK("https://12go.asia/en/travel/Selcuk-Hotel-Transfer/Adnan-Menderes-Airport", "12Go Link")</f>
        <v>12Go Link</v>
      </c>
      <c r="E6105" s="2" t="s">
        <v>5304</v>
      </c>
    </row>
    <row r="6106">
      <c r="A6106" s="2" t="s">
        <v>5504</v>
      </c>
      <c r="B6106" s="2" t="s">
        <v>5307</v>
      </c>
      <c r="C6106" s="2" t="s">
        <v>5538</v>
      </c>
      <c r="D6106" s="3" t="str">
        <f t="shared" si="1131"/>
        <v>12Go Link</v>
      </c>
      <c r="E6106" s="2" t="s">
        <v>5305</v>
      </c>
    </row>
    <row r="6107">
      <c r="A6107" s="2" t="s">
        <v>5338</v>
      </c>
      <c r="B6107" s="2" t="s">
        <v>5309</v>
      </c>
      <c r="C6107" s="2" t="s">
        <v>5539</v>
      </c>
      <c r="D6107" s="3" t="str">
        <f t="shared" ref="D6107:D6108" si="1132">HYPERLINK("https://12go.asia/en/travel/Side-Hotel-Transfer/Gazipasa-Alanya-Airport", "12Go Link")</f>
        <v>12Go Link</v>
      </c>
      <c r="E6107" s="2" t="s">
        <v>5304</v>
      </c>
    </row>
    <row r="6108">
      <c r="A6108" s="2" t="s">
        <v>5338</v>
      </c>
      <c r="B6108" s="2" t="s">
        <v>5309</v>
      </c>
      <c r="C6108" s="2" t="s">
        <v>5539</v>
      </c>
      <c r="D6108" s="3" t="str">
        <f t="shared" si="1132"/>
        <v>12Go Link</v>
      </c>
      <c r="E6108" s="2" t="s">
        <v>5305</v>
      </c>
    </row>
    <row r="6109">
      <c r="A6109" s="2" t="s">
        <v>5506</v>
      </c>
      <c r="B6109" s="2" t="s">
        <v>5307</v>
      </c>
      <c r="C6109" s="2" t="s">
        <v>5540</v>
      </c>
      <c r="D6109" s="3" t="str">
        <f t="shared" ref="D6109:D6110" si="1133">HYPERLINK("https://12go.asia/en/travel/Sigacik-Hotel-Transfer/Adnan-Menderes-Airport", "12Go Link")</f>
        <v>12Go Link</v>
      </c>
      <c r="E6109" s="2" t="s">
        <v>5304</v>
      </c>
    </row>
    <row r="6110">
      <c r="A6110" s="2" t="s">
        <v>5506</v>
      </c>
      <c r="B6110" s="2" t="s">
        <v>5307</v>
      </c>
      <c r="C6110" s="2" t="s">
        <v>5540</v>
      </c>
      <c r="D6110" s="3" t="str">
        <f t="shared" si="1133"/>
        <v>12Go Link</v>
      </c>
      <c r="E6110" s="2" t="s">
        <v>5305</v>
      </c>
    </row>
    <row r="6111">
      <c r="A6111" s="2" t="s">
        <v>5508</v>
      </c>
      <c r="B6111" s="2" t="s">
        <v>5307</v>
      </c>
      <c r="C6111" s="2" t="s">
        <v>5541</v>
      </c>
      <c r="D6111" s="3" t="str">
        <f t="shared" ref="D6111:D6112" si="1134">HYPERLINK("https://12go.asia/en/travel/Soke-Hotel-Transfer/Adnan-Menderes-Airport", "12Go Link")</f>
        <v>12Go Link</v>
      </c>
      <c r="E6111" s="2" t="s">
        <v>5304</v>
      </c>
    </row>
    <row r="6112">
      <c r="A6112" s="2" t="s">
        <v>5508</v>
      </c>
      <c r="B6112" s="2" t="s">
        <v>5307</v>
      </c>
      <c r="C6112" s="2" t="s">
        <v>5541</v>
      </c>
      <c r="D6112" s="3" t="str">
        <f t="shared" si="1134"/>
        <v>12Go Link</v>
      </c>
      <c r="E6112" s="2" t="s">
        <v>5305</v>
      </c>
    </row>
    <row r="6113">
      <c r="A6113" s="2" t="s">
        <v>5398</v>
      </c>
      <c r="B6113" s="2" t="s">
        <v>5302</v>
      </c>
      <c r="C6113" s="2" t="s">
        <v>5542</v>
      </c>
      <c r="D6113" s="3" t="str">
        <f t="shared" ref="D6113:D6114" si="1135">HYPERLINK("https://12go.asia/en/travel/Torba-Hotel-Transfer/Bodrum-Milas-Airport", "12Go Link")</f>
        <v>12Go Link</v>
      </c>
      <c r="E6113" s="2" t="s">
        <v>5304</v>
      </c>
    </row>
    <row r="6114">
      <c r="A6114" s="2" t="s">
        <v>5398</v>
      </c>
      <c r="B6114" s="2" t="s">
        <v>5302</v>
      </c>
      <c r="C6114" s="2" t="s">
        <v>5542</v>
      </c>
      <c r="D6114" s="3" t="str">
        <f t="shared" si="1135"/>
        <v>12Go Link</v>
      </c>
      <c r="E6114" s="2" t="s">
        <v>5305</v>
      </c>
    </row>
    <row r="6115">
      <c r="A6115" s="2" t="s">
        <v>5340</v>
      </c>
      <c r="B6115" s="2" t="s">
        <v>5309</v>
      </c>
      <c r="C6115" s="2" t="s">
        <v>5543</v>
      </c>
      <c r="D6115" s="3" t="str">
        <f t="shared" ref="D6115:D6116" si="1136">HYPERLINK("https://12go.asia/en/travel/Tosmur-Hotel-Transfer/Gazipasa-Alanya-Airport", "12Go Link")</f>
        <v>12Go Link</v>
      </c>
      <c r="E6115" s="2" t="s">
        <v>5304</v>
      </c>
    </row>
    <row r="6116">
      <c r="A6116" s="2" t="s">
        <v>5340</v>
      </c>
      <c r="B6116" s="2" t="s">
        <v>5309</v>
      </c>
      <c r="C6116" s="2" t="s">
        <v>5543</v>
      </c>
      <c r="D6116" s="3" t="str">
        <f t="shared" si="1136"/>
        <v>12Go Link</v>
      </c>
      <c r="E6116" s="2" t="s">
        <v>5305</v>
      </c>
    </row>
    <row r="6117">
      <c r="A6117" s="2" t="s">
        <v>5340</v>
      </c>
      <c r="B6117" s="2" t="s">
        <v>5346</v>
      </c>
      <c r="C6117" s="2" t="s">
        <v>5544</v>
      </c>
      <c r="D6117" s="3" t="str">
        <f t="shared" ref="D6117:D6118" si="1137">HYPERLINK("https://12go.asia/en/travel/Tosmur-Hotel-Transfer/Antalya-Airport", "12Go Link")</f>
        <v>12Go Link</v>
      </c>
      <c r="E6117" s="2" t="s">
        <v>5304</v>
      </c>
    </row>
    <row r="6118">
      <c r="A6118" s="2" t="s">
        <v>5340</v>
      </c>
      <c r="B6118" s="2" t="s">
        <v>5346</v>
      </c>
      <c r="C6118" s="2" t="s">
        <v>5544</v>
      </c>
      <c r="D6118" s="3" t="str">
        <f t="shared" si="1137"/>
        <v>12Go Link</v>
      </c>
      <c r="E6118" s="2" t="s">
        <v>5305</v>
      </c>
    </row>
    <row r="6119">
      <c r="A6119" s="2" t="s">
        <v>5400</v>
      </c>
      <c r="B6119" s="2" t="s">
        <v>5302</v>
      </c>
      <c r="C6119" s="2" t="s">
        <v>5545</v>
      </c>
      <c r="D6119" s="3" t="str">
        <f t="shared" ref="D6119:D6120" si="1138">HYPERLINK("https://12go.asia/en/travel/Turgutkoy-Hotel-Transfer/Bodrum-Milas-Airport", "12Go Link")</f>
        <v>12Go Link</v>
      </c>
      <c r="E6119" s="2" t="s">
        <v>5304</v>
      </c>
    </row>
    <row r="6120">
      <c r="A6120" s="2" t="s">
        <v>5400</v>
      </c>
      <c r="B6120" s="2" t="s">
        <v>5302</v>
      </c>
      <c r="C6120" s="2" t="s">
        <v>5545</v>
      </c>
      <c r="D6120" s="3" t="str">
        <f t="shared" si="1138"/>
        <v>12Go Link</v>
      </c>
      <c r="E6120" s="2" t="s">
        <v>5305</v>
      </c>
    </row>
    <row r="6121">
      <c r="A6121" s="2" t="s">
        <v>5402</v>
      </c>
      <c r="B6121" s="2" t="s">
        <v>5302</v>
      </c>
      <c r="C6121" s="2" t="s">
        <v>5546</v>
      </c>
      <c r="D6121" s="3" t="str">
        <f t="shared" ref="D6121:D6122" si="1139">HYPERLINK("https://12go.asia/en/travel/Turgutreis-Hotel-Transfer/Bodrum-Milas-Airport", "12Go Link")</f>
        <v>12Go Link</v>
      </c>
      <c r="E6121" s="2" t="s">
        <v>5304</v>
      </c>
    </row>
    <row r="6122">
      <c r="A6122" s="2" t="s">
        <v>5402</v>
      </c>
      <c r="B6122" s="2" t="s">
        <v>5302</v>
      </c>
      <c r="C6122" s="2" t="s">
        <v>5546</v>
      </c>
      <c r="D6122" s="3" t="str">
        <f t="shared" si="1139"/>
        <v>12Go Link</v>
      </c>
      <c r="E6122" s="2" t="s">
        <v>5305</v>
      </c>
    </row>
    <row r="6123">
      <c r="A6123" s="2" t="s">
        <v>5342</v>
      </c>
      <c r="B6123" s="2" t="s">
        <v>5309</v>
      </c>
      <c r="C6123" s="2" t="s">
        <v>5547</v>
      </c>
      <c r="D6123" s="3" t="str">
        <f t="shared" ref="D6123:D6124" si="1140">HYPERLINK("https://12go.asia/en/travel/Turkler-Hotel-Transfer/Gazipasa-Alanya-Airport", "12Go Link")</f>
        <v>12Go Link</v>
      </c>
      <c r="E6123" s="2" t="s">
        <v>5304</v>
      </c>
    </row>
    <row r="6124">
      <c r="A6124" s="2" t="s">
        <v>5342</v>
      </c>
      <c r="B6124" s="2" t="s">
        <v>5309</v>
      </c>
      <c r="C6124" s="2" t="s">
        <v>5547</v>
      </c>
      <c r="D6124" s="3" t="str">
        <f t="shared" si="1140"/>
        <v>12Go Link</v>
      </c>
      <c r="E6124" s="2" t="s">
        <v>5305</v>
      </c>
    </row>
    <row r="6125">
      <c r="A6125" s="2" t="s">
        <v>5510</v>
      </c>
      <c r="B6125" s="2" t="s">
        <v>5307</v>
      </c>
      <c r="C6125" s="2" t="s">
        <v>5548</v>
      </c>
      <c r="D6125" s="3" t="str">
        <f t="shared" ref="D6125:D6126" si="1141">HYPERLINK("https://12go.asia/en/travel/Urla-Hotel-Transfer/Adnan-Menderes-Airport", "12Go Link")</f>
        <v>12Go Link</v>
      </c>
      <c r="E6125" s="2" t="s">
        <v>5304</v>
      </c>
    </row>
    <row r="6126">
      <c r="A6126" s="2" t="s">
        <v>5510</v>
      </c>
      <c r="B6126" s="2" t="s">
        <v>5307</v>
      </c>
      <c r="C6126" s="2" t="s">
        <v>5548</v>
      </c>
      <c r="D6126" s="3" t="str">
        <f t="shared" si="1141"/>
        <v>12Go Link</v>
      </c>
      <c r="E6126" s="2" t="s">
        <v>5305</v>
      </c>
    </row>
    <row r="6127">
      <c r="A6127" s="2" t="s">
        <v>5404</v>
      </c>
      <c r="B6127" s="2" t="s">
        <v>5302</v>
      </c>
      <c r="C6127" s="2" t="s">
        <v>5549</v>
      </c>
      <c r="D6127" s="3" t="str">
        <f t="shared" ref="D6127:D6128" si="1142">HYPERLINK("https://12go.asia/en/travel/Yalikavak-Hotel-Transfer/Bodrum-Milas-Airport", "12Go Link")</f>
        <v>12Go Link</v>
      </c>
      <c r="E6127" s="2" t="s">
        <v>5304</v>
      </c>
    </row>
    <row r="6128">
      <c r="A6128" s="2" t="s">
        <v>5404</v>
      </c>
      <c r="B6128" s="2" t="s">
        <v>5302</v>
      </c>
      <c r="C6128" s="2" t="s">
        <v>5549</v>
      </c>
      <c r="D6128" s="3" t="str">
        <f t="shared" si="1142"/>
        <v>12Go Link</v>
      </c>
      <c r="E6128" s="2" t="s">
        <v>5305</v>
      </c>
    </row>
    <row r="6129">
      <c r="A6129" s="2" t="s">
        <v>5550</v>
      </c>
      <c r="B6129" s="2" t="s">
        <v>5551</v>
      </c>
      <c r="C6129" s="2" t="s">
        <v>5552</v>
      </c>
      <c r="D6129" s="3" t="str">
        <f>HYPERLINK("https://12go.asia/en/travel/dubai/khamis-mushayt", "12Go Link")</f>
        <v>12Go Link</v>
      </c>
      <c r="E6129" s="2" t="s">
        <v>60</v>
      </c>
    </row>
    <row r="6130">
      <c r="A6130" s="2" t="s">
        <v>4299</v>
      </c>
      <c r="B6130" s="2" t="s">
        <v>5553</v>
      </c>
      <c r="C6130" s="2" t="s">
        <v>5554</v>
      </c>
      <c r="D6130" s="3" t="str">
        <f>HYPERLINK("https://12go.asia/en/travel/dubai-airport/baabda", "12Go Link")</f>
        <v>12Go Link</v>
      </c>
      <c r="E6130" s="2" t="s">
        <v>60</v>
      </c>
    </row>
    <row r="6131">
      <c r="A6131" s="2" t="s">
        <v>4299</v>
      </c>
      <c r="B6131" s="2" t="s">
        <v>5555</v>
      </c>
      <c r="C6131" s="2" t="s">
        <v>5556</v>
      </c>
      <c r="D6131" s="3" t="str">
        <f>HYPERLINK("https://12go.asia/en/travel/dubai-airport/beirut", "12Go Link")</f>
        <v>12Go Link</v>
      </c>
      <c r="E6131" s="2" t="s">
        <v>60</v>
      </c>
    </row>
    <row r="6132">
      <c r="A6132" s="2" t="s">
        <v>4299</v>
      </c>
      <c r="B6132" s="2" t="s">
        <v>5557</v>
      </c>
      <c r="C6132" s="2" t="s">
        <v>5558</v>
      </c>
      <c r="D6132" s="3" t="str">
        <f>HYPERLINK("https://12go.asia/en/travel/dubai-airport/nabatieh", "12Go Link")</f>
        <v>12Go Link</v>
      </c>
      <c r="E6132" s="2" t="s">
        <v>60</v>
      </c>
    </row>
    <row r="6133">
      <c r="A6133" s="2" t="s">
        <v>4299</v>
      </c>
      <c r="B6133" s="2" t="s">
        <v>5559</v>
      </c>
      <c r="C6133" s="2" t="s">
        <v>5560</v>
      </c>
      <c r="D6133" s="3" t="str">
        <f>HYPERLINK("https://12go.asia/en/travel/dubai-airport/saida", "12Go Link")</f>
        <v>12Go Link</v>
      </c>
      <c r="E6133" s="2" t="s">
        <v>60</v>
      </c>
    </row>
    <row r="6134">
      <c r="A6134" s="2" t="s">
        <v>4299</v>
      </c>
      <c r="B6134" s="2" t="s">
        <v>5561</v>
      </c>
      <c r="C6134" s="2" t="s">
        <v>5562</v>
      </c>
      <c r="D6134" s="3" t="str">
        <f>HYPERLINK("https://12go.asia/en/travel/dubai-airport/zahle", "12Go Link")</f>
        <v>12Go Link</v>
      </c>
      <c r="E6134" s="2" t="s">
        <v>60</v>
      </c>
    </row>
    <row r="6135">
      <c r="A6135" s="2" t="s">
        <v>4299</v>
      </c>
      <c r="B6135" s="2" t="s">
        <v>5563</v>
      </c>
      <c r="C6135" s="2" t="s">
        <v>5564</v>
      </c>
      <c r="D6135" s="3" t="str">
        <f>HYPERLINK("https://12go.asia/en/travel/dubai-airport/al-ahsa", "12Go Link")</f>
        <v>12Go Link</v>
      </c>
      <c r="E6135" s="2" t="s">
        <v>60</v>
      </c>
    </row>
    <row r="6136">
      <c r="A6136" s="2" t="s">
        <v>4299</v>
      </c>
      <c r="B6136" s="2" t="s">
        <v>5565</v>
      </c>
      <c r="C6136" s="2" t="s">
        <v>5566</v>
      </c>
      <c r="D6136" s="3" t="str">
        <f>HYPERLINK("https://12go.asia/en/travel/dubai-airport/al-hofuf", "12Go Link")</f>
        <v>12Go Link</v>
      </c>
      <c r="E6136" s="2" t="s">
        <v>60</v>
      </c>
    </row>
    <row r="6137">
      <c r="A6137" s="2" t="s">
        <v>4299</v>
      </c>
      <c r="B6137" s="2" t="s">
        <v>5567</v>
      </c>
      <c r="C6137" s="2" t="s">
        <v>5568</v>
      </c>
      <c r="D6137" s="3" t="str">
        <f>HYPERLINK("https://12go.asia/en/travel/dubai-airport/al-mubarraz", "12Go Link")</f>
        <v>12Go Link</v>
      </c>
      <c r="E6137" s="2" t="s">
        <v>60</v>
      </c>
    </row>
    <row r="6138">
      <c r="A6138" s="2" t="s">
        <v>4299</v>
      </c>
      <c r="B6138" s="2" t="s">
        <v>5569</v>
      </c>
      <c r="C6138" s="2" t="s">
        <v>5570</v>
      </c>
      <c r="D6138" s="3" t="str">
        <f>HYPERLINK("https://12go.asia/en/travel/dubai-airport/tabuk", "12Go Link")</f>
        <v>12Go Link</v>
      </c>
      <c r="E6138" s="2" t="s">
        <v>60</v>
      </c>
    </row>
    <row r="6139">
      <c r="A6139" s="2" t="s">
        <v>5571</v>
      </c>
      <c r="B6139" s="2" t="s">
        <v>319</v>
      </c>
      <c r="C6139" s="2" t="s">
        <v>5572</v>
      </c>
      <c r="D6139" s="3" t="str">
        <f>HYPERLINK("https://12go.asia/en/travel/amherst/moncton", "12Go Link")</f>
        <v>12Go Link</v>
      </c>
      <c r="E6139" s="2" t="s">
        <v>77</v>
      </c>
    </row>
    <row r="6140">
      <c r="A6140" s="2" t="s">
        <v>5573</v>
      </c>
      <c r="B6140" s="2" t="s">
        <v>5574</v>
      </c>
      <c r="C6140" s="2" t="s">
        <v>5575</v>
      </c>
      <c r="D6140" s="3" t="str">
        <f>HYPERLINK("https://12go.asia/en/travel/bong-son/bien-hoa", "12Go Link")</f>
        <v>12Go Link</v>
      </c>
      <c r="E6140" s="2" t="s">
        <v>77</v>
      </c>
    </row>
    <row r="6141">
      <c r="A6141" s="2" t="s">
        <v>5576</v>
      </c>
      <c r="B6141" s="2" t="s">
        <v>5577</v>
      </c>
      <c r="C6141" s="2" t="s">
        <v>5578</v>
      </c>
      <c r="D6141" s="3" t="str">
        <f>HYPERLINK("https://12go.asia/en/travel/Hoang-Ngoc-Resort/Da-Lat-Bus-Station", "12Go Link")</f>
        <v>12Go Link</v>
      </c>
      <c r="E6141" s="2" t="s">
        <v>5579</v>
      </c>
    </row>
    <row r="6142">
      <c r="A6142" s="2" t="s">
        <v>5576</v>
      </c>
      <c r="B6142" s="2" t="s">
        <v>5577</v>
      </c>
      <c r="C6142" s="2" t="s">
        <v>5580</v>
      </c>
      <c r="D6142" s="3" t="str">
        <f>HYPERLINK("https://12go.asia/en/travel/Lotus-Village-Resort/Da-Lat-Bus-Station", "12Go Link")</f>
        <v>12Go Link</v>
      </c>
      <c r="E6142" s="2" t="s">
        <v>5579</v>
      </c>
    </row>
    <row r="6143">
      <c r="A6143" s="2" t="s">
        <v>5576</v>
      </c>
      <c r="B6143" s="2" t="s">
        <v>5577</v>
      </c>
      <c r="C6143" s="2" t="s">
        <v>5581</v>
      </c>
      <c r="D6143" s="3" t="str">
        <f>HYPERLINK("https://12go.asia/en/travel/Phan-Thiet-North-Bus-Station/Da-Lat-Bus-Station", "12Go Link")</f>
        <v>12Go Link</v>
      </c>
      <c r="E6143" s="2" t="s">
        <v>5579</v>
      </c>
    </row>
    <row r="6144">
      <c r="A6144" s="2" t="s">
        <v>5576</v>
      </c>
      <c r="B6144" s="2" t="s">
        <v>5582</v>
      </c>
      <c r="C6144" s="2" t="s">
        <v>5583</v>
      </c>
      <c r="D6144" s="3" t="str">
        <f>HYPERLINK("https://12go.asia/en/travel/suoi-kiet/tuy-hoa", "12Go Link")</f>
        <v>12Go Link</v>
      </c>
      <c r="E6144" s="2" t="s">
        <v>77</v>
      </c>
    </row>
    <row r="6145">
      <c r="A6145" s="2" t="s">
        <v>246</v>
      </c>
      <c r="B6145" s="2" t="s">
        <v>253</v>
      </c>
      <c r="C6145" s="2" t="s">
        <v>5584</v>
      </c>
      <c r="D6145" s="3" t="str">
        <f>HYPERLINK("https://12go.asia/en/travel/Can-Tho/Ho-Chi-Minh-city-centre", "12Go Link")</f>
        <v>12Go Link</v>
      </c>
      <c r="E6145" s="2" t="s">
        <v>4968</v>
      </c>
    </row>
    <row r="6146">
      <c r="A6146" s="2" t="s">
        <v>5577</v>
      </c>
      <c r="B6146" s="2" t="s">
        <v>5576</v>
      </c>
      <c r="C6146" s="2" t="s">
        <v>5585</v>
      </c>
      <c r="D6146" s="3" t="str">
        <f>HYPERLINK("https://12go.asia/en/travel/Da-Lat-Bus-Station/Hoang-Ngoc-Resort", "12Go Link")</f>
        <v>12Go Link</v>
      </c>
      <c r="E6146" s="2" t="s">
        <v>5579</v>
      </c>
    </row>
    <row r="6147">
      <c r="A6147" s="2" t="s">
        <v>5577</v>
      </c>
      <c r="B6147" s="2" t="s">
        <v>5576</v>
      </c>
      <c r="C6147" s="2" t="s">
        <v>5586</v>
      </c>
      <c r="D6147" s="3" t="str">
        <f>HYPERLINK("https://12go.asia/en/travel/Da-Lat-Bus-Station/Lotus-Village-Resort", "12Go Link")</f>
        <v>12Go Link</v>
      </c>
      <c r="E6147" s="2" t="s">
        <v>5579</v>
      </c>
    </row>
    <row r="6148">
      <c r="A6148" s="2" t="s">
        <v>5577</v>
      </c>
      <c r="B6148" s="2" t="s">
        <v>5576</v>
      </c>
      <c r="C6148" s="2" t="s">
        <v>5587</v>
      </c>
      <c r="D6148" s="3" t="str">
        <f>HYPERLINK("https://12go.asia/en/travel/Da-Lat-Bus-Station/Phan-Thiet-North-Bus-Station", "12Go Link")</f>
        <v>12Go Link</v>
      </c>
      <c r="E6148" s="2" t="s">
        <v>5579</v>
      </c>
    </row>
    <row r="6149">
      <c r="A6149" s="2" t="s">
        <v>5577</v>
      </c>
      <c r="B6149" s="2" t="s">
        <v>5588</v>
      </c>
      <c r="C6149" s="2" t="s">
        <v>5589</v>
      </c>
      <c r="D6149" s="3" t="str">
        <f>HYPERLINK("https://12go.asia/en/travel/Da-Lat-Bus-Station/Apec-Mandala-Chambay", "12Go Link")</f>
        <v>12Go Link</v>
      </c>
      <c r="E6149" s="2" t="s">
        <v>5579</v>
      </c>
    </row>
    <row r="6150">
      <c r="A6150" s="2" t="s">
        <v>5577</v>
      </c>
      <c r="B6150" s="2" t="s">
        <v>5588</v>
      </c>
      <c r="C6150" s="2" t="s">
        <v>5590</v>
      </c>
      <c r="D6150" s="3" t="str">
        <f>HYPERLINK("https://12go.asia/en/travel/Da-Lat-Bus-Station/Centara-Mirage-Resort", "12Go Link")</f>
        <v>12Go Link</v>
      </c>
      <c r="E6150" s="2" t="s">
        <v>5579</v>
      </c>
    </row>
    <row r="6151">
      <c r="A6151" s="2" t="s">
        <v>5577</v>
      </c>
      <c r="B6151" s="2" t="s">
        <v>5588</v>
      </c>
      <c r="C6151" s="2" t="s">
        <v>5591</v>
      </c>
      <c r="D6151" s="3" t="str">
        <f>HYPERLINK("https://12go.asia/en/travel/Da-Lat-Bus-Station/Pandanus-Resort", "12Go Link")</f>
        <v>12Go Link</v>
      </c>
      <c r="E6151" s="2" t="s">
        <v>5579</v>
      </c>
    </row>
    <row r="6152">
      <c r="A6152" s="2" t="s">
        <v>5577</v>
      </c>
      <c r="B6152" s="2" t="s">
        <v>5588</v>
      </c>
      <c r="C6152" s="2" t="s">
        <v>5592</v>
      </c>
      <c r="D6152" s="3" t="str">
        <f>HYPERLINK("https://12go.asia/en/travel/Da-Lat-Bus-Station/The-Anam", "12Go Link")</f>
        <v>12Go Link</v>
      </c>
      <c r="E6152" s="2" t="s">
        <v>5579</v>
      </c>
    </row>
    <row r="6153">
      <c r="A6153" s="2" t="s">
        <v>5577</v>
      </c>
      <c r="B6153" s="2" t="s">
        <v>5588</v>
      </c>
      <c r="C6153" s="2" t="s">
        <v>5593</v>
      </c>
      <c r="D6153" s="3" t="str">
        <f>HYPERLINK("https://12go.asia/en/travel/Da-Lat-Bus-Station/The-Cliff-Resort", "12Go Link")</f>
        <v>12Go Link</v>
      </c>
      <c r="E6153" s="2" t="s">
        <v>5579</v>
      </c>
    </row>
    <row r="6154">
      <c r="A6154" s="2" t="s">
        <v>5594</v>
      </c>
      <c r="B6154" s="2" t="s">
        <v>281</v>
      </c>
      <c r="C6154" s="2" t="s">
        <v>5595</v>
      </c>
      <c r="D6154" s="3" t="str">
        <f>HYPERLINK("https://12go.asia/en/travel/Da-Nang/Vientiane-Southern-Bus-Station", "12Go Link")</f>
        <v>12Go Link</v>
      </c>
      <c r="E6154" s="2" t="s">
        <v>5596</v>
      </c>
    </row>
    <row r="6155">
      <c r="A6155" s="2" t="s">
        <v>5594</v>
      </c>
      <c r="B6155" s="2" t="s">
        <v>5597</v>
      </c>
      <c r="C6155" s="2" t="s">
        <v>5598</v>
      </c>
      <c r="D6155" s="3" t="str">
        <f t="shared" ref="D6155:D6156" si="1143">HYPERLINK("https://12go.asia/en/travel/217-Ho-Nghinh/16-Hang-Chinh-Hanoi", "12Go Link")</f>
        <v>12Go Link</v>
      </c>
      <c r="E6155" s="2" t="s">
        <v>5599</v>
      </c>
    </row>
    <row r="6156">
      <c r="A6156" s="2" t="s">
        <v>5594</v>
      </c>
      <c r="B6156" s="2" t="s">
        <v>5597</v>
      </c>
      <c r="C6156" s="2" t="s">
        <v>5598</v>
      </c>
      <c r="D6156" s="3" t="str">
        <f t="shared" si="1143"/>
        <v>12Go Link</v>
      </c>
      <c r="E6156" s="2" t="s">
        <v>5600</v>
      </c>
    </row>
    <row r="6157">
      <c r="A6157" s="2" t="s">
        <v>5594</v>
      </c>
      <c r="B6157" s="2" t="s">
        <v>5597</v>
      </c>
      <c r="C6157" s="2" t="s">
        <v>5601</v>
      </c>
      <c r="D6157" s="3" t="str">
        <f>HYPERLINK("https://12go.asia/en/travel/3-Thang-2-street/208-Tran-Quang-Khai", "12Go Link")</f>
        <v>12Go Link</v>
      </c>
      <c r="E6157" s="2" t="s">
        <v>5602</v>
      </c>
    </row>
    <row r="6158">
      <c r="A6158" s="2" t="s">
        <v>5594</v>
      </c>
      <c r="B6158" s="2" t="s">
        <v>5597</v>
      </c>
      <c r="C6158" s="2" t="s">
        <v>5603</v>
      </c>
      <c r="D6158" s="3" t="str">
        <f>HYPERLINK("https://12go.asia/en/travel/Danang-To-Vietnam/200-Tran-Quang-Khai", "12Go Link")</f>
        <v>12Go Link</v>
      </c>
      <c r="E6158" s="2" t="s">
        <v>5602</v>
      </c>
    </row>
    <row r="6159">
      <c r="A6159" s="2" t="s">
        <v>5594</v>
      </c>
      <c r="B6159" s="2" t="s">
        <v>5604</v>
      </c>
      <c r="C6159" s="2" t="s">
        <v>5605</v>
      </c>
      <c r="D6159" s="3" t="str">
        <f>HYPERLINK("https://12go.asia/en/travel/3-Thang-2-street/7-Doi-Cung-Hue", "12Go Link")</f>
        <v>12Go Link</v>
      </c>
      <c r="E6159" s="2" t="s">
        <v>5602</v>
      </c>
    </row>
    <row r="6160">
      <c r="A6160" s="2" t="s">
        <v>5594</v>
      </c>
      <c r="B6160" s="2" t="s">
        <v>5604</v>
      </c>
      <c r="C6160" s="2" t="s">
        <v>5606</v>
      </c>
      <c r="D6160" s="3" t="str">
        <f>HYPERLINK("https://12go.asia/en/travel/Danang-To-Vietnam/7-Doi-Cung-Hue", "12Go Link")</f>
        <v>12Go Link</v>
      </c>
      <c r="E6160" s="2" t="s">
        <v>5602</v>
      </c>
    </row>
    <row r="6161">
      <c r="A6161" s="2" t="s">
        <v>5594</v>
      </c>
      <c r="B6161" s="2" t="s">
        <v>5607</v>
      </c>
      <c r="C6161" s="2" t="s">
        <v>5608</v>
      </c>
      <c r="D6161" s="3" t="str">
        <f t="shared" ref="D6161:D6162" si="1144">HYPERLINK("https://12go.asia/en/travel/217-Ho-Nghinh/Dong-Gung-Bus-Station", "12Go Link")</f>
        <v>12Go Link</v>
      </c>
      <c r="E6161" s="2" t="s">
        <v>5599</v>
      </c>
    </row>
    <row r="6162">
      <c r="A6162" s="2" t="s">
        <v>5594</v>
      </c>
      <c r="B6162" s="2" t="s">
        <v>5607</v>
      </c>
      <c r="C6162" s="2" t="s">
        <v>5608</v>
      </c>
      <c r="D6162" s="3" t="str">
        <f t="shared" si="1144"/>
        <v>12Go Link</v>
      </c>
      <c r="E6162" s="2" t="s">
        <v>5600</v>
      </c>
    </row>
    <row r="6163">
      <c r="A6163" s="2" t="s">
        <v>5594</v>
      </c>
      <c r="B6163" s="2" t="s">
        <v>5607</v>
      </c>
      <c r="C6163" s="2" t="s">
        <v>5609</v>
      </c>
      <c r="D6163" s="3" t="str">
        <f>HYPERLINK("https://12go.asia/en/travel/3-Thang-2-street/46-July-27-Street", "12Go Link")</f>
        <v>12Go Link</v>
      </c>
      <c r="E6163" s="2" t="s">
        <v>5602</v>
      </c>
    </row>
    <row r="6164">
      <c r="A6164" s="2" t="s">
        <v>5594</v>
      </c>
      <c r="B6164" s="2" t="s">
        <v>5607</v>
      </c>
      <c r="C6164" s="2" t="s">
        <v>5610</v>
      </c>
      <c r="D6164" s="3" t="str">
        <f>HYPERLINK("https://12go.asia/en/travel/Danang-To-Vietnam/Seven-Coffee", "12Go Link")</f>
        <v>12Go Link</v>
      </c>
      <c r="E6164" s="2" t="s">
        <v>5602</v>
      </c>
    </row>
    <row r="6165">
      <c r="A6165" s="2" t="s">
        <v>5594</v>
      </c>
      <c r="B6165" s="2" t="s">
        <v>5611</v>
      </c>
      <c r="C6165" s="2" t="s">
        <v>5612</v>
      </c>
      <c r="D6165" s="3" t="str">
        <f>HYPERLINK("https://12go.asia/en/travel/112-Nam-Tran/Thien-Phu-Hostel", "12Go Link")</f>
        <v>12Go Link</v>
      </c>
      <c r="E6165" s="2" t="s">
        <v>5602</v>
      </c>
    </row>
    <row r="6166">
      <c r="A6166" s="2" t="s">
        <v>5594</v>
      </c>
      <c r="B6166" s="2" t="s">
        <v>5611</v>
      </c>
      <c r="C6166" s="2" t="s">
        <v>5613</v>
      </c>
      <c r="D6166" s="3" t="str">
        <f>HYPERLINK("https://12go.asia/en/travel/3-Thang-2-street/Central-Backpackers-Hostel-Phong-Nha", "12Go Link")</f>
        <v>12Go Link</v>
      </c>
      <c r="E6166" s="2" t="s">
        <v>5602</v>
      </c>
    </row>
    <row r="6167">
      <c r="A6167" s="2" t="s">
        <v>5594</v>
      </c>
      <c r="B6167" s="2" t="s">
        <v>5611</v>
      </c>
      <c r="C6167" s="2" t="s">
        <v>5614</v>
      </c>
      <c r="D6167" s="3" t="str">
        <f>HYPERLINK("https://12go.asia/en/travel/79-Nguyen-Tuong-Pho/Central-Backpackers-Hostel-Phong-Nha", "12Go Link")</f>
        <v>12Go Link</v>
      </c>
      <c r="E6167" s="2" t="s">
        <v>5615</v>
      </c>
    </row>
    <row r="6168">
      <c r="A6168" s="2" t="s">
        <v>5594</v>
      </c>
      <c r="B6168" s="2" t="s">
        <v>5611</v>
      </c>
      <c r="C6168" s="2" t="s">
        <v>5616</v>
      </c>
      <c r="D6168" s="3" t="str">
        <f>HYPERLINK("https://12go.asia/en/travel/Danang-To-Vietnam/Central-Backpackers-Hostel-Phong-Nha", "12Go Link")</f>
        <v>12Go Link</v>
      </c>
      <c r="E6168" s="2" t="s">
        <v>5602</v>
      </c>
    </row>
    <row r="6169">
      <c r="A6169" s="2" t="s">
        <v>5594</v>
      </c>
      <c r="B6169" s="2" t="s">
        <v>5617</v>
      </c>
      <c r="C6169" s="2" t="s">
        <v>5618</v>
      </c>
      <c r="D6169" s="3" t="str">
        <f>HYPERLINK("https://12go.asia/en/travel/120-Nam-Tran/Dong-Hoi", "12Go Link")</f>
        <v>12Go Link</v>
      </c>
      <c r="E6169" s="2" t="s">
        <v>5619</v>
      </c>
    </row>
    <row r="6170">
      <c r="A6170" s="2" t="s">
        <v>5594</v>
      </c>
      <c r="B6170" s="2" t="s">
        <v>5620</v>
      </c>
      <c r="C6170" s="2" t="s">
        <v>5621</v>
      </c>
      <c r="D6170" s="3" t="str">
        <f>HYPERLINK("https://12go.asia/en/travel/79-Nguyen-Tuong-Pho/187-Le-Duan", "12Go Link")</f>
        <v>12Go Link</v>
      </c>
      <c r="E6170" s="2" t="s">
        <v>5615</v>
      </c>
    </row>
    <row r="6171">
      <c r="A6171" s="2" t="s">
        <v>5622</v>
      </c>
      <c r="B6171" s="2" t="s">
        <v>5623</v>
      </c>
      <c r="C6171" s="2" t="s">
        <v>5624</v>
      </c>
      <c r="D6171" s="3" t="str">
        <f t="shared" ref="D6171:D6172" si="1145">HYPERLINK("https://12go.asia/en/travel/243-Nui-Ngoc/132-Duong-Hien-Giang", "12Go Link")</f>
        <v>12Go Link</v>
      </c>
      <c r="E6171" s="2" t="s">
        <v>5625</v>
      </c>
    </row>
    <row r="6172">
      <c r="A6172" s="2" t="s">
        <v>5622</v>
      </c>
      <c r="B6172" s="2" t="s">
        <v>5623</v>
      </c>
      <c r="C6172" s="2" t="s">
        <v>5624</v>
      </c>
      <c r="D6172" s="3" t="str">
        <f t="shared" si="1145"/>
        <v>12Go Link</v>
      </c>
      <c r="E6172" s="2" t="s">
        <v>5626</v>
      </c>
    </row>
    <row r="6173">
      <c r="A6173" s="2" t="s">
        <v>5622</v>
      </c>
      <c r="B6173" s="2" t="s">
        <v>5594</v>
      </c>
      <c r="C6173" s="2" t="s">
        <v>5627</v>
      </c>
      <c r="D6173" s="3" t="str">
        <f>HYPERLINK("https://12go.asia/en/travel/243-Nui-Ngoc/90-Hoang-Thi-Loan", "12Go Link")</f>
        <v>12Go Link</v>
      </c>
      <c r="E6173" s="2" t="s">
        <v>5628</v>
      </c>
    </row>
    <row r="6174">
      <c r="A6174" s="2" t="s">
        <v>5622</v>
      </c>
      <c r="B6174" s="2" t="s">
        <v>5629</v>
      </c>
      <c r="C6174" s="2" t="s">
        <v>5630</v>
      </c>
      <c r="D6174" s="3" t="str">
        <f>HYPERLINK("https://12go.asia/en/travel/243-Nui-Ngoc/122-Ha-Huy-Tap", "12Go Link")</f>
        <v>12Go Link</v>
      </c>
      <c r="E6174" s="2" t="s">
        <v>5628</v>
      </c>
    </row>
    <row r="6175">
      <c r="A6175" s="2" t="s">
        <v>5622</v>
      </c>
      <c r="B6175" s="2" t="s">
        <v>5631</v>
      </c>
      <c r="C6175" s="2" t="s">
        <v>5632</v>
      </c>
      <c r="D6175" s="3" t="str">
        <f>HYPERLINK("https://12go.asia/en/travel/243-Nui-Ngoc/Ha-Giang-City-Hostel", "12Go Link")</f>
        <v>12Go Link</v>
      </c>
      <c r="E6175" s="2" t="s">
        <v>5626</v>
      </c>
    </row>
    <row r="6176">
      <c r="A6176" s="2" t="s">
        <v>5622</v>
      </c>
      <c r="B6176" s="2" t="s">
        <v>5597</v>
      </c>
      <c r="C6176" s="2" t="s">
        <v>5633</v>
      </c>
      <c r="D6176" s="3" t="str">
        <f>HYPERLINK("https://12go.asia/en/travel/243-Nui-Ngoc/20-Hang-Muoi", "12Go Link")</f>
        <v>12Go Link</v>
      </c>
      <c r="E6176" s="2" t="s">
        <v>5634</v>
      </c>
    </row>
    <row r="6177">
      <c r="A6177" s="2" t="s">
        <v>5622</v>
      </c>
      <c r="B6177" s="2" t="s">
        <v>5635</v>
      </c>
      <c r="C6177" s="2" t="s">
        <v>5636</v>
      </c>
      <c r="D6177" s="3" t="str">
        <f>HYPERLINK("https://12go.asia/en/travel/243-Nui-Ngoc/Little-Mai-Chau-Homestay", "12Go Link")</f>
        <v>12Go Link</v>
      </c>
      <c r="E6177" s="2" t="s">
        <v>5637</v>
      </c>
    </row>
    <row r="6178">
      <c r="A6178" s="2" t="s">
        <v>5622</v>
      </c>
      <c r="B6178" s="2" t="s">
        <v>5638</v>
      </c>
      <c r="C6178" s="2" t="s">
        <v>5639</v>
      </c>
      <c r="D6178" s="3" t="str">
        <f>HYPERLINK("https://12go.asia/en/travel/243-Nui-Ngoc/Pool-Side-Villa", "12Go Link")</f>
        <v>12Go Link</v>
      </c>
      <c r="E6178" s="2" t="s">
        <v>5628</v>
      </c>
    </row>
    <row r="6179">
      <c r="A6179" s="2" t="s">
        <v>5622</v>
      </c>
      <c r="B6179" s="2" t="s">
        <v>5604</v>
      </c>
      <c r="C6179" s="2" t="s">
        <v>5640</v>
      </c>
      <c r="D6179" s="3" t="str">
        <f>HYPERLINK("https://12go.asia/en/travel/243-Nui-Ngoc/26-Nguyen-Hue", "12Go Link")</f>
        <v>12Go Link</v>
      </c>
      <c r="E6179" s="2" t="s">
        <v>5628</v>
      </c>
    </row>
    <row r="6180">
      <c r="A6180" s="2" t="s">
        <v>5622</v>
      </c>
      <c r="B6180" s="2" t="s">
        <v>5607</v>
      </c>
      <c r="C6180" s="2" t="s">
        <v>5641</v>
      </c>
      <c r="D6180" s="3" t="str">
        <f>HYPERLINK("https://12go.asia/en/travel/243-Nui-Ngoc/Tam-Coc-Boat-Station", "12Go Link")</f>
        <v>12Go Link</v>
      </c>
      <c r="E6180" s="2" t="s">
        <v>5637</v>
      </c>
    </row>
    <row r="6181">
      <c r="A6181" s="2" t="s">
        <v>5622</v>
      </c>
      <c r="B6181" s="2" t="s">
        <v>5611</v>
      </c>
      <c r="C6181" s="2" t="s">
        <v>5642</v>
      </c>
      <c r="D6181" s="3" t="str">
        <f>HYPERLINK("https://12go.asia/en/travel/243-Nui-Ngoc/Phong-Nha-Midtown-Hotel", "12Go Link")</f>
        <v>12Go Link</v>
      </c>
      <c r="E6181" s="2" t="s">
        <v>5628</v>
      </c>
    </row>
    <row r="6182">
      <c r="A6182" s="2" t="s">
        <v>5622</v>
      </c>
      <c r="B6182" s="2" t="s">
        <v>5643</v>
      </c>
      <c r="C6182" s="2" t="s">
        <v>5644</v>
      </c>
      <c r="D6182" s="3" t="str">
        <f>HYPERLINK("https://12go.asia/en/travel/243-Nui-Ngoc/Sapa-Garden-Bungalow", "12Go Link")</f>
        <v>12Go Link</v>
      </c>
      <c r="E6182" s="2" t="s">
        <v>5626</v>
      </c>
    </row>
    <row r="6183">
      <c r="A6183" s="2" t="s">
        <v>5622</v>
      </c>
      <c r="B6183" s="2" t="s">
        <v>5645</v>
      </c>
      <c r="C6183" s="2" t="s">
        <v>5646</v>
      </c>
      <c r="D6183" s="3" t="str">
        <f>HYPERLINK("https://12go.asia/en/travel/243-Nui-Ngoc/Pu-Luong-Homestay", "12Go Link")</f>
        <v>12Go Link</v>
      </c>
      <c r="E6183" s="2" t="s">
        <v>5637</v>
      </c>
    </row>
    <row r="6184">
      <c r="A6184" s="2" t="s">
        <v>5631</v>
      </c>
      <c r="B6184" s="2" t="s">
        <v>5597</v>
      </c>
      <c r="C6184" s="2" t="s">
        <v>5647</v>
      </c>
      <c r="D6184" s="3" t="str">
        <f t="shared" ref="D6184:D6187" si="1146">HYPERLINK("https://12go.asia/en/travel/Ha-Giang/Hanoi-City-Center-Transfer", "12Go Link")</f>
        <v>12Go Link</v>
      </c>
      <c r="E6184" s="2" t="s">
        <v>4968</v>
      </c>
    </row>
    <row r="6185">
      <c r="A6185" s="2" t="s">
        <v>5631</v>
      </c>
      <c r="B6185" s="2" t="s">
        <v>5597</v>
      </c>
      <c r="C6185" s="2" t="s">
        <v>5647</v>
      </c>
      <c r="D6185" s="3" t="str">
        <f t="shared" si="1146"/>
        <v>12Go Link</v>
      </c>
      <c r="E6185" s="2" t="s">
        <v>5648</v>
      </c>
    </row>
    <row r="6186">
      <c r="A6186" s="2" t="s">
        <v>5631</v>
      </c>
      <c r="B6186" s="2" t="s">
        <v>5597</v>
      </c>
      <c r="C6186" s="2" t="s">
        <v>5647</v>
      </c>
      <c r="D6186" s="3" t="str">
        <f t="shared" si="1146"/>
        <v>12Go Link</v>
      </c>
      <c r="E6186" s="2" t="s">
        <v>215</v>
      </c>
    </row>
    <row r="6187">
      <c r="A6187" s="2" t="s">
        <v>5631</v>
      </c>
      <c r="B6187" s="2" t="s">
        <v>5597</v>
      </c>
      <c r="C6187" s="2" t="s">
        <v>5647</v>
      </c>
      <c r="D6187" s="3" t="str">
        <f t="shared" si="1146"/>
        <v>12Go Link</v>
      </c>
      <c r="E6187" s="2" t="s">
        <v>5649</v>
      </c>
    </row>
    <row r="6188">
      <c r="A6188" s="2" t="s">
        <v>250</v>
      </c>
      <c r="B6188" s="2" t="s">
        <v>238</v>
      </c>
      <c r="C6188" s="2" t="s">
        <v>5650</v>
      </c>
      <c r="D6188" s="3" t="str">
        <f>HYPERLINK("https://12go.asia/en/travel/Ha-Tien-Town/Sihanoukville", "12Go Link")</f>
        <v>12Go Link</v>
      </c>
      <c r="E6188" s="2" t="s">
        <v>5651</v>
      </c>
    </row>
    <row r="6189">
      <c r="A6189" s="2" t="s">
        <v>250</v>
      </c>
      <c r="B6189" s="2" t="s">
        <v>253</v>
      </c>
      <c r="C6189" s="2" t="s">
        <v>5652</v>
      </c>
      <c r="D6189" s="3" t="str">
        <f t="shared" ref="D6189:D6191" si="1147">HYPERLINK("https://12go.asia/en/travel/Ha-Tien/Ho-Chi-Minh", "12Go Link")</f>
        <v>12Go Link</v>
      </c>
      <c r="E6189" s="2" t="s">
        <v>4968</v>
      </c>
    </row>
    <row r="6190">
      <c r="A6190" s="2" t="s">
        <v>250</v>
      </c>
      <c r="B6190" s="2" t="s">
        <v>253</v>
      </c>
      <c r="C6190" s="2" t="s">
        <v>5652</v>
      </c>
      <c r="D6190" s="3" t="str">
        <f t="shared" si="1147"/>
        <v>12Go Link</v>
      </c>
      <c r="E6190" s="2" t="s">
        <v>5648</v>
      </c>
    </row>
    <row r="6191">
      <c r="A6191" s="2" t="s">
        <v>250</v>
      </c>
      <c r="B6191" s="2" t="s">
        <v>253</v>
      </c>
      <c r="C6191" s="2" t="s">
        <v>5652</v>
      </c>
      <c r="D6191" s="3" t="str">
        <f t="shared" si="1147"/>
        <v>12Go Link</v>
      </c>
      <c r="E6191" s="2" t="s">
        <v>215</v>
      </c>
    </row>
    <row r="6192">
      <c r="A6192" s="2" t="s">
        <v>5653</v>
      </c>
      <c r="B6192" s="2" t="s">
        <v>5607</v>
      </c>
      <c r="C6192" s="2" t="s">
        <v>5654</v>
      </c>
      <c r="D6192" s="3" t="str">
        <f>HYPERLINK("https://12go.asia/en/travel/Cat-Ba-SOL-Beach/Trang-An-Luxury-Homestay", "12Go Link")</f>
        <v>12Go Link</v>
      </c>
      <c r="E6192" s="2" t="s">
        <v>5637</v>
      </c>
    </row>
    <row r="6193">
      <c r="A6193" s="2" t="s">
        <v>5653</v>
      </c>
      <c r="B6193" s="2" t="s">
        <v>5655</v>
      </c>
      <c r="C6193" s="2" t="s">
        <v>5656</v>
      </c>
      <c r="D6193" s="3" t="str">
        <f>HYPERLINK("https://12go.asia/en/travel/Cat-Ba-Huyen-Beo/Coffee-Cherry", "12Go Link")</f>
        <v>12Go Link</v>
      </c>
      <c r="E6193" s="2" t="s">
        <v>5657</v>
      </c>
    </row>
    <row r="6194">
      <c r="A6194" s="2" t="s">
        <v>5653</v>
      </c>
      <c r="B6194" s="2" t="s">
        <v>5655</v>
      </c>
      <c r="C6194" s="2" t="s">
        <v>5658</v>
      </c>
      <c r="D6194" s="3" t="str">
        <f>HYPERLINK("https://12go.asia/en/travel/Cat-Ba-Huyen-Beo/Sky-Station", "12Go Link")</f>
        <v>12Go Link</v>
      </c>
      <c r="E6194" s="2" t="s">
        <v>5657</v>
      </c>
    </row>
    <row r="6195">
      <c r="A6195" s="2" t="s">
        <v>5597</v>
      </c>
      <c r="B6195" s="2" t="s">
        <v>5594</v>
      </c>
      <c r="C6195" s="2" t="s">
        <v>5659</v>
      </c>
      <c r="D6195" s="3" t="str">
        <f>HYPERLINK("https://12go.asia/en/travel/111-Hang-Dao/Danang-To-Vietnam", "12Go Link")</f>
        <v>12Go Link</v>
      </c>
      <c r="E6195" s="2" t="s">
        <v>5602</v>
      </c>
    </row>
    <row r="6196">
      <c r="A6196" s="2" t="s">
        <v>5597</v>
      </c>
      <c r="B6196" s="2" t="s">
        <v>5594</v>
      </c>
      <c r="C6196" s="2" t="s">
        <v>5660</v>
      </c>
      <c r="D6196" s="3" t="str">
        <f>HYPERLINK("https://12go.asia/en/travel/208-Tran-Quang-Khai/3-Thang-2-street", "12Go Link")</f>
        <v>12Go Link</v>
      </c>
      <c r="E6196" s="2" t="s">
        <v>5602</v>
      </c>
    </row>
    <row r="6197">
      <c r="A6197" s="2" t="s">
        <v>5597</v>
      </c>
      <c r="B6197" s="2" t="s">
        <v>5622</v>
      </c>
      <c r="C6197" s="2" t="s">
        <v>5661</v>
      </c>
      <c r="D6197" s="3" t="str">
        <f>HYPERLINK("https://12go.asia/en/travel/20-Hang-Muoi/243-Nui-Ngoc", "12Go Link")</f>
        <v>12Go Link</v>
      </c>
      <c r="E6197" s="2" t="s">
        <v>5634</v>
      </c>
    </row>
    <row r="6198">
      <c r="A6198" s="2" t="s">
        <v>5597</v>
      </c>
      <c r="B6198" s="2" t="s">
        <v>5638</v>
      </c>
      <c r="C6198" s="2" t="s">
        <v>5662</v>
      </c>
      <c r="D6198" s="3" t="str">
        <f>HYPERLINK("https://12go.asia/en/travel/111-Hang-Dao/105-Ton-Duc-Thang", "12Go Link")</f>
        <v>12Go Link</v>
      </c>
      <c r="E6198" s="2" t="s">
        <v>5602</v>
      </c>
    </row>
    <row r="6199">
      <c r="A6199" s="2" t="s">
        <v>5597</v>
      </c>
      <c r="B6199" s="2" t="s">
        <v>5638</v>
      </c>
      <c r="C6199" s="2" t="s">
        <v>5663</v>
      </c>
      <c r="D6199" s="3" t="str">
        <f>HYPERLINK("https://12go.asia/en/travel/208-Tran-Quang-Khai/105-Ton-Duc-Thang", "12Go Link")</f>
        <v>12Go Link</v>
      </c>
      <c r="E6199" s="2" t="s">
        <v>5602</v>
      </c>
    </row>
    <row r="6200">
      <c r="A6200" s="2" t="s">
        <v>5597</v>
      </c>
      <c r="B6200" s="2" t="s">
        <v>5604</v>
      </c>
      <c r="C6200" s="2" t="s">
        <v>5664</v>
      </c>
      <c r="D6200" s="3" t="str">
        <f>HYPERLINK("https://12go.asia/en/travel/111-Hang-Dao/7-Doi-Cung-Hue", "12Go Link")</f>
        <v>12Go Link</v>
      </c>
      <c r="E6200" s="2" t="s">
        <v>5602</v>
      </c>
    </row>
    <row r="6201">
      <c r="A6201" s="2" t="s">
        <v>5597</v>
      </c>
      <c r="B6201" s="2" t="s">
        <v>5604</v>
      </c>
      <c r="C6201" s="2" t="s">
        <v>5665</v>
      </c>
      <c r="D6201" s="3" t="str">
        <f>HYPERLINK("https://12go.asia/en/travel/208-Tran-Quang-Khai/7-Doi-Cung-Hue", "12Go Link")</f>
        <v>12Go Link</v>
      </c>
      <c r="E6201" s="2" t="s">
        <v>5602</v>
      </c>
    </row>
    <row r="6202">
      <c r="A6202" s="2" t="s">
        <v>5597</v>
      </c>
      <c r="B6202" s="2" t="s">
        <v>5666</v>
      </c>
      <c r="C6202" s="2" t="s">
        <v>5667</v>
      </c>
      <c r="D6202" s="3" t="str">
        <f>HYPERLINK("https://12go.asia/en/travel/Hanoi/Sapa-Lao-Cai", "12Go Link")</f>
        <v>12Go Link</v>
      </c>
      <c r="E6202" s="2" t="s">
        <v>5668</v>
      </c>
    </row>
    <row r="6203">
      <c r="A6203" s="2" t="s">
        <v>5597</v>
      </c>
      <c r="B6203" s="2" t="s">
        <v>5611</v>
      </c>
      <c r="C6203" s="2" t="s">
        <v>5669</v>
      </c>
      <c r="D6203" s="3" t="str">
        <f>HYPERLINK("https://12go.asia/en/travel/111-Hang-Dao/Central-Backpackers-Hostel-Phong-Nha", "12Go Link")</f>
        <v>12Go Link</v>
      </c>
      <c r="E6203" s="2" t="s">
        <v>5602</v>
      </c>
    </row>
    <row r="6204">
      <c r="A6204" s="2" t="s">
        <v>5597</v>
      </c>
      <c r="B6204" s="2" t="s">
        <v>5611</v>
      </c>
      <c r="C6204" s="2" t="s">
        <v>5670</v>
      </c>
      <c r="D6204" s="3" t="str">
        <f>HYPERLINK("https://12go.asia/en/travel/208-Tran-Quang-Khai/Central-Backpackers-Hostel-Phong-Nha", "12Go Link")</f>
        <v>12Go Link</v>
      </c>
      <c r="E6204" s="2" t="s">
        <v>5602</v>
      </c>
    </row>
    <row r="6205">
      <c r="A6205" s="2" t="s">
        <v>5597</v>
      </c>
      <c r="B6205" s="2" t="s">
        <v>5655</v>
      </c>
      <c r="C6205" s="2" t="s">
        <v>5671</v>
      </c>
      <c r="D6205" s="3" t="str">
        <f t="shared" ref="D6205:D6206" si="1148">HYPERLINK("https://12go.asia/en/travel/Hanoi-Opera-House/239-Nguyen-Van-Cu-Ha-Long", "12Go Link")</f>
        <v>12Go Link</v>
      </c>
      <c r="E6205" s="2" t="s">
        <v>5672</v>
      </c>
    </row>
    <row r="6206">
      <c r="A6206" s="2" t="s">
        <v>5597</v>
      </c>
      <c r="B6206" s="2" t="s">
        <v>5655</v>
      </c>
      <c r="C6206" s="2" t="s">
        <v>5671</v>
      </c>
      <c r="D6206" s="3" t="str">
        <f t="shared" si="1148"/>
        <v>12Go Link</v>
      </c>
      <c r="E6206" s="2" t="s">
        <v>5673</v>
      </c>
    </row>
    <row r="6207">
      <c r="A6207" s="2" t="s">
        <v>5597</v>
      </c>
      <c r="B6207" s="2" t="s">
        <v>5655</v>
      </c>
      <c r="C6207" s="2" t="s">
        <v>5674</v>
      </c>
      <c r="D6207" s="3" t="str">
        <f t="shared" ref="D6207:D6208" si="1149">HYPERLINK("https://12go.asia/en/travel/Hanoi-Phuc-Xuyen-Office/239-Nguyen-Van-Cu-Ha-Long", "12Go Link")</f>
        <v>12Go Link</v>
      </c>
      <c r="E6207" s="2" t="s">
        <v>5672</v>
      </c>
    </row>
    <row r="6208">
      <c r="A6208" s="2" t="s">
        <v>5597</v>
      </c>
      <c r="B6208" s="2" t="s">
        <v>5655</v>
      </c>
      <c r="C6208" s="2" t="s">
        <v>5674</v>
      </c>
      <c r="D6208" s="3" t="str">
        <f t="shared" si="1149"/>
        <v>12Go Link</v>
      </c>
      <c r="E6208" s="2" t="s">
        <v>5673</v>
      </c>
    </row>
    <row r="6209">
      <c r="A6209" s="2" t="s">
        <v>253</v>
      </c>
      <c r="B6209" s="2" t="s">
        <v>246</v>
      </c>
      <c r="C6209" s="2" t="s">
        <v>5675</v>
      </c>
      <c r="D6209" s="3" t="str">
        <f t="shared" ref="D6209:D6211" si="1150">HYPERLINK("https://12go.asia/en/travel/Ho-Chi-Minh/Can-Tho", "12Go Link")</f>
        <v>12Go Link</v>
      </c>
      <c r="E6209" s="2" t="s">
        <v>4968</v>
      </c>
    </row>
    <row r="6210">
      <c r="A6210" s="2" t="s">
        <v>253</v>
      </c>
      <c r="B6210" s="2" t="s">
        <v>246</v>
      </c>
      <c r="C6210" s="2" t="s">
        <v>5675</v>
      </c>
      <c r="D6210" s="3" t="str">
        <f t="shared" si="1150"/>
        <v>12Go Link</v>
      </c>
      <c r="E6210" s="2" t="s">
        <v>5676</v>
      </c>
    </row>
    <row r="6211">
      <c r="A6211" s="2" t="s">
        <v>253</v>
      </c>
      <c r="B6211" s="2" t="s">
        <v>246</v>
      </c>
      <c r="C6211" s="2" t="s">
        <v>5675</v>
      </c>
      <c r="D6211" s="3" t="str">
        <f t="shared" si="1150"/>
        <v>12Go Link</v>
      </c>
      <c r="E6211" s="2" t="s">
        <v>3739</v>
      </c>
    </row>
    <row r="6212">
      <c r="A6212" s="2" t="s">
        <v>253</v>
      </c>
      <c r="B6212" s="2" t="s">
        <v>246</v>
      </c>
      <c r="C6212" s="2" t="s">
        <v>5677</v>
      </c>
      <c r="D6212" s="3" t="str">
        <f t="shared" ref="D6212:D6214" si="1151">HYPERLINK("https://12go.asia/en/travel/Ho-Chi-Minh-city-centre/Can-Tho", "12Go Link")</f>
        <v>12Go Link</v>
      </c>
      <c r="E6212" s="2" t="s">
        <v>4968</v>
      </c>
    </row>
    <row r="6213">
      <c r="A6213" s="2" t="s">
        <v>253</v>
      </c>
      <c r="B6213" s="2" t="s">
        <v>246</v>
      </c>
      <c r="C6213" s="2" t="s">
        <v>5677</v>
      </c>
      <c r="D6213" s="3" t="str">
        <f t="shared" si="1151"/>
        <v>12Go Link</v>
      </c>
      <c r="E6213" s="2" t="s">
        <v>5676</v>
      </c>
    </row>
    <row r="6214">
      <c r="A6214" s="2" t="s">
        <v>253</v>
      </c>
      <c r="B6214" s="2" t="s">
        <v>246</v>
      </c>
      <c r="C6214" s="2" t="s">
        <v>5677</v>
      </c>
      <c r="D6214" s="3" t="str">
        <f t="shared" si="1151"/>
        <v>12Go Link</v>
      </c>
      <c r="E6214" s="2" t="s">
        <v>3739</v>
      </c>
    </row>
    <row r="6215">
      <c r="A6215" s="2" t="s">
        <v>253</v>
      </c>
      <c r="B6215" s="2" t="s">
        <v>5588</v>
      </c>
      <c r="C6215" s="2" t="s">
        <v>5678</v>
      </c>
      <c r="D6215" s="3" t="str">
        <f t="shared" ref="D6215:D6217" si="1152">HYPERLINK("https://12go.asia/en/travel/Ho-Chi-Minh/Mui-Ne", "12Go Link")</f>
        <v>12Go Link</v>
      </c>
      <c r="E6215" s="2" t="s">
        <v>4968</v>
      </c>
    </row>
    <row r="6216">
      <c r="A6216" s="2" t="s">
        <v>253</v>
      </c>
      <c r="B6216" s="2" t="s">
        <v>5588</v>
      </c>
      <c r="C6216" s="2" t="s">
        <v>5678</v>
      </c>
      <c r="D6216" s="3" t="str">
        <f t="shared" si="1152"/>
        <v>12Go Link</v>
      </c>
      <c r="E6216" s="2" t="s">
        <v>5676</v>
      </c>
    </row>
    <row r="6217">
      <c r="A6217" s="2" t="s">
        <v>253</v>
      </c>
      <c r="B6217" s="2" t="s">
        <v>5588</v>
      </c>
      <c r="C6217" s="2" t="s">
        <v>5678</v>
      </c>
      <c r="D6217" s="3" t="str">
        <f t="shared" si="1152"/>
        <v>12Go Link</v>
      </c>
      <c r="E6217" s="2" t="s">
        <v>3739</v>
      </c>
    </row>
    <row r="6218">
      <c r="A6218" s="2" t="s">
        <v>253</v>
      </c>
      <c r="B6218" s="2" t="s">
        <v>5588</v>
      </c>
      <c r="C6218" s="2" t="s">
        <v>5679</v>
      </c>
      <c r="D6218" s="3" t="str">
        <f t="shared" ref="D6218:D6220" si="1153">HYPERLINK("https://12go.asia/en/travel/Ho-Chi-Minh-city-centre/Mui-Ne", "12Go Link")</f>
        <v>12Go Link</v>
      </c>
      <c r="E6218" s="2" t="s">
        <v>4968</v>
      </c>
    </row>
    <row r="6219">
      <c r="A6219" s="2" t="s">
        <v>253</v>
      </c>
      <c r="B6219" s="2" t="s">
        <v>5588</v>
      </c>
      <c r="C6219" s="2" t="s">
        <v>5679</v>
      </c>
      <c r="D6219" s="3" t="str">
        <f t="shared" si="1153"/>
        <v>12Go Link</v>
      </c>
      <c r="E6219" s="2" t="s">
        <v>5676</v>
      </c>
    </row>
    <row r="6220">
      <c r="A6220" s="2" t="s">
        <v>253</v>
      </c>
      <c r="B6220" s="2" t="s">
        <v>5588</v>
      </c>
      <c r="C6220" s="2" t="s">
        <v>5679</v>
      </c>
      <c r="D6220" s="3" t="str">
        <f t="shared" si="1153"/>
        <v>12Go Link</v>
      </c>
      <c r="E6220" s="2" t="s">
        <v>3739</v>
      </c>
    </row>
    <row r="6221">
      <c r="A6221" s="2" t="s">
        <v>253</v>
      </c>
      <c r="B6221" s="2" t="s">
        <v>5680</v>
      </c>
      <c r="C6221" s="2" t="s">
        <v>5681</v>
      </c>
      <c r="D6221" s="3" t="str">
        <f t="shared" ref="D6221:D6222" si="1154">HYPERLINK("https://12go.asia/en/travel/Ho-Chi-Minh-city-centre/Ho-Tram-Beach", "12Go Link")</f>
        <v>12Go Link</v>
      </c>
      <c r="E6221" s="2" t="s">
        <v>4968</v>
      </c>
    </row>
    <row r="6222">
      <c r="A6222" s="2" t="s">
        <v>253</v>
      </c>
      <c r="B6222" s="2" t="s">
        <v>5680</v>
      </c>
      <c r="C6222" s="2" t="s">
        <v>5681</v>
      </c>
      <c r="D6222" s="3" t="str">
        <f t="shared" si="1154"/>
        <v>12Go Link</v>
      </c>
      <c r="E6222" s="2" t="s">
        <v>3739</v>
      </c>
    </row>
    <row r="6223">
      <c r="A6223" s="2" t="s">
        <v>5635</v>
      </c>
      <c r="B6223" s="2" t="s">
        <v>5594</v>
      </c>
      <c r="C6223" s="2" t="s">
        <v>5682</v>
      </c>
      <c r="D6223" s="3" t="str">
        <f>HYPERLINK("https://12go.asia/en/travel/Mac-Thanh-Honstay/90-Hoang-Thi-Loan", "12Go Link")</f>
        <v>12Go Link</v>
      </c>
      <c r="E6223" s="2" t="s">
        <v>5628</v>
      </c>
    </row>
    <row r="6224">
      <c r="A6224" s="2" t="s">
        <v>5635</v>
      </c>
      <c r="B6224" s="2" t="s">
        <v>5629</v>
      </c>
      <c r="C6224" s="2" t="s">
        <v>5683</v>
      </c>
      <c r="D6224" s="3" t="str">
        <f>HYPERLINK("https://12go.asia/en/travel/Mac-Thanh-Honstay/122-Ha-Huy-Tap", "12Go Link")</f>
        <v>12Go Link</v>
      </c>
      <c r="E6224" s="2" t="s">
        <v>5628</v>
      </c>
    </row>
    <row r="6225">
      <c r="A6225" s="2" t="s">
        <v>5635</v>
      </c>
      <c r="B6225" s="2" t="s">
        <v>5638</v>
      </c>
      <c r="C6225" s="2" t="s">
        <v>5684</v>
      </c>
      <c r="D6225" s="3" t="str">
        <f>HYPERLINK("https://12go.asia/en/travel/Mac-Thanh-Honstay/Pool-Side-Villa", "12Go Link")</f>
        <v>12Go Link</v>
      </c>
      <c r="E6225" s="2" t="s">
        <v>5628</v>
      </c>
    </row>
    <row r="6226">
      <c r="A6226" s="2" t="s">
        <v>5635</v>
      </c>
      <c r="B6226" s="2" t="s">
        <v>5604</v>
      </c>
      <c r="C6226" s="2" t="s">
        <v>5685</v>
      </c>
      <c r="D6226" s="3" t="str">
        <f>HYPERLINK("https://12go.asia/en/travel/Mac-Thanh-Honstay/26-Nguyen-Hue", "12Go Link")</f>
        <v>12Go Link</v>
      </c>
      <c r="E6226" s="2" t="s">
        <v>5628</v>
      </c>
    </row>
    <row r="6227">
      <c r="A6227" s="2" t="s">
        <v>5635</v>
      </c>
      <c r="B6227" s="2" t="s">
        <v>5607</v>
      </c>
      <c r="C6227" s="2" t="s">
        <v>5686</v>
      </c>
      <c r="D6227" s="3" t="str">
        <f>HYPERLINK("https://12go.asia/en/travel/Mac-Thanh-Honstay/Tam-Coc-Boat-Station", "12Go Link")</f>
        <v>12Go Link</v>
      </c>
      <c r="E6227" s="2" t="s">
        <v>5687</v>
      </c>
    </row>
    <row r="6228">
      <c r="A6228" s="2" t="s">
        <v>5635</v>
      </c>
      <c r="B6228" s="2" t="s">
        <v>5611</v>
      </c>
      <c r="C6228" s="2" t="s">
        <v>5688</v>
      </c>
      <c r="D6228" s="3" t="str">
        <f>HYPERLINK("https://12go.asia/en/travel/Mac-Thanh-Honstay/Phong-Nha-Midtown-Hotel", "12Go Link")</f>
        <v>12Go Link</v>
      </c>
      <c r="E6228" s="2" t="s">
        <v>5628</v>
      </c>
    </row>
    <row r="6229">
      <c r="A6229" s="2" t="s">
        <v>5638</v>
      </c>
      <c r="B6229" s="2" t="s">
        <v>5689</v>
      </c>
      <c r="C6229" s="2" t="s">
        <v>5690</v>
      </c>
      <c r="D6229" s="3" t="str">
        <f>HYPERLINK("https://12go.asia/en/travel/hoi-an/bandar-sunway", "12Go Link")</f>
        <v>12Go Link</v>
      </c>
      <c r="E6229" s="2" t="s">
        <v>60</v>
      </c>
    </row>
    <row r="6230">
      <c r="A6230" s="2" t="s">
        <v>5638</v>
      </c>
      <c r="B6230" s="2" t="s">
        <v>5691</v>
      </c>
      <c r="C6230" s="2" t="s">
        <v>5692</v>
      </c>
      <c r="D6230" s="3" t="str">
        <f>HYPERLINK("https://12go.asia/en/travel/hoi-an/klia", "12Go Link")</f>
        <v>12Go Link</v>
      </c>
      <c r="E6230" s="2" t="s">
        <v>60</v>
      </c>
    </row>
    <row r="6231">
      <c r="A6231" s="2" t="s">
        <v>5638</v>
      </c>
      <c r="B6231" s="2" t="s">
        <v>5693</v>
      </c>
      <c r="C6231" s="2" t="s">
        <v>5694</v>
      </c>
      <c r="D6231" s="3" t="str">
        <f>HYPERLINK("https://12go.asia/en/travel/hoi-an/klia-ii", "12Go Link")</f>
        <v>12Go Link</v>
      </c>
      <c r="E6231" s="2" t="s">
        <v>60</v>
      </c>
    </row>
    <row r="6232">
      <c r="A6232" s="2" t="s">
        <v>5638</v>
      </c>
      <c r="B6232" s="2" t="s">
        <v>5695</v>
      </c>
      <c r="C6232" s="2" t="s">
        <v>5696</v>
      </c>
      <c r="D6232" s="3" t="str">
        <f>HYPERLINK("https://12go.asia/en/travel/hoi-an/kuala-lumpur-airport", "12Go Link")</f>
        <v>12Go Link</v>
      </c>
      <c r="E6232" s="2" t="s">
        <v>60</v>
      </c>
    </row>
    <row r="6233">
      <c r="A6233" s="2" t="s">
        <v>5638</v>
      </c>
      <c r="B6233" s="2" t="s">
        <v>4206</v>
      </c>
      <c r="C6233" s="2" t="s">
        <v>5697</v>
      </c>
      <c r="D6233" s="3" t="str">
        <f>HYPERLINK("https://12go.asia/en/travel/hoi-an/kuala-lumpur-sentral", "12Go Link")</f>
        <v>12Go Link</v>
      </c>
      <c r="E6233" s="2" t="s">
        <v>60</v>
      </c>
    </row>
    <row r="6234">
      <c r="A6234" s="2" t="s">
        <v>5638</v>
      </c>
      <c r="B6234" s="2" t="s">
        <v>5698</v>
      </c>
      <c r="C6234" s="2" t="s">
        <v>5699</v>
      </c>
      <c r="D6234" s="3" t="str">
        <f>HYPERLINK("https://12go.asia/en/travel/hoi-an/seremban", "12Go Link")</f>
        <v>12Go Link</v>
      </c>
      <c r="E6234" s="2" t="s">
        <v>60</v>
      </c>
    </row>
    <row r="6235">
      <c r="A6235" s="2" t="s">
        <v>5638</v>
      </c>
      <c r="B6235" s="2" t="s">
        <v>5594</v>
      </c>
      <c r="C6235" s="2" t="s">
        <v>5700</v>
      </c>
      <c r="D6235" s="3" t="str">
        <f>HYPERLINK("https://12go.asia/en/travel/Viet-Nam-Travel-Bus-Hoi-An/Da-Nang-City", "12Go Link")</f>
        <v>12Go Link</v>
      </c>
      <c r="E6235" s="2" t="s">
        <v>5701</v>
      </c>
    </row>
    <row r="6236">
      <c r="A6236" s="2" t="s">
        <v>5638</v>
      </c>
      <c r="B6236" s="2" t="s">
        <v>5594</v>
      </c>
      <c r="C6236" s="2" t="s">
        <v>5702</v>
      </c>
      <c r="D6236" s="3" t="str">
        <f>HYPERLINK("https://12go.asia/en/travel/Viet-Nam-Travel-Bus-Hoi-An/Thanh-Khe-District", "12Go Link")</f>
        <v>12Go Link</v>
      </c>
      <c r="E6236" s="2" t="s">
        <v>5701</v>
      </c>
    </row>
    <row r="6237">
      <c r="A6237" s="2" t="s">
        <v>5638</v>
      </c>
      <c r="B6237" s="2" t="s">
        <v>5597</v>
      </c>
      <c r="C6237" s="2" t="s">
        <v>5703</v>
      </c>
      <c r="D6237" s="3" t="str">
        <f>HYPERLINK("https://12go.asia/en/travel/105-Ton-Duc-Thang/200-Tran-Quang-Khai", "12Go Link")</f>
        <v>12Go Link</v>
      </c>
      <c r="E6237" s="2" t="s">
        <v>5602</v>
      </c>
    </row>
    <row r="6238">
      <c r="A6238" s="2" t="s">
        <v>5638</v>
      </c>
      <c r="B6238" s="2" t="s">
        <v>5597</v>
      </c>
      <c r="C6238" s="2" t="s">
        <v>5704</v>
      </c>
      <c r="D6238" s="3" t="str">
        <f>HYPERLINK("https://12go.asia/en/travel/105-Ton-Duc-Thang/208-Tran-Quang-Khai", "12Go Link")</f>
        <v>12Go Link</v>
      </c>
      <c r="E6238" s="2" t="s">
        <v>5602</v>
      </c>
    </row>
    <row r="6239">
      <c r="A6239" s="2" t="s">
        <v>5638</v>
      </c>
      <c r="B6239" s="2" t="s">
        <v>5604</v>
      </c>
      <c r="C6239" s="2" t="s">
        <v>5705</v>
      </c>
      <c r="D6239" s="3" t="str">
        <f>HYPERLINK("https://12go.asia/en/travel/105-Ton-Duc-Thang/59-Bui-Thi-Xuan", "12Go Link")</f>
        <v>12Go Link</v>
      </c>
      <c r="E6239" s="2" t="s">
        <v>5602</v>
      </c>
    </row>
    <row r="6240">
      <c r="A6240" s="2" t="s">
        <v>5638</v>
      </c>
      <c r="B6240" s="2" t="s">
        <v>5604</v>
      </c>
      <c r="C6240" s="2" t="s">
        <v>5706</v>
      </c>
      <c r="D6240" s="3" t="str">
        <f>HYPERLINK("https://12go.asia/en/travel/105-Ton-Duc-Thang/7-Doi-Cung-Hue", "12Go Link")</f>
        <v>12Go Link</v>
      </c>
      <c r="E6240" s="2" t="s">
        <v>5602</v>
      </c>
    </row>
    <row r="6241">
      <c r="A6241" s="2" t="s">
        <v>5638</v>
      </c>
      <c r="B6241" s="2" t="s">
        <v>5604</v>
      </c>
      <c r="C6241" s="2" t="s">
        <v>5707</v>
      </c>
      <c r="D6241" s="3" t="str">
        <f>HYPERLINK("https://12go.asia/en/travel/105-Ton-Duc-Thang/Hue-45-Le-Loi-street", "12Go Link")</f>
        <v>12Go Link</v>
      </c>
      <c r="E6241" s="2" t="s">
        <v>5708</v>
      </c>
    </row>
    <row r="6242">
      <c r="A6242" s="2" t="s">
        <v>5638</v>
      </c>
      <c r="B6242" s="2" t="s">
        <v>5604</v>
      </c>
      <c r="C6242" s="2" t="s">
        <v>5709</v>
      </c>
      <c r="D6242" s="3" t="str">
        <f>HYPERLINK("https://12go.asia/en/travel/105-Ton-Duc-Thang/Hue-Train-Station", "12Go Link")</f>
        <v>12Go Link</v>
      </c>
      <c r="E6242" s="2" t="s">
        <v>5615</v>
      </c>
    </row>
    <row r="6243">
      <c r="A6243" s="2" t="s">
        <v>5638</v>
      </c>
      <c r="B6243" s="2" t="s">
        <v>5604</v>
      </c>
      <c r="C6243" s="2" t="s">
        <v>5710</v>
      </c>
      <c r="D6243" s="3" t="str">
        <f>HYPERLINK("https://12go.asia/en/travel/105-Ton-Duc-Thang/Vincom-Plaza-Hue", "12Go Link")</f>
        <v>12Go Link</v>
      </c>
      <c r="E6243" s="2" t="s">
        <v>5708</v>
      </c>
    </row>
    <row r="6244">
      <c r="A6244" s="2" t="s">
        <v>5638</v>
      </c>
      <c r="B6244" s="2" t="s">
        <v>5604</v>
      </c>
      <c r="C6244" s="2" t="s">
        <v>5711</v>
      </c>
      <c r="D6244" s="3" t="str">
        <f>HYPERLINK("https://12go.asia/en/travel/Viet-Nam-Travel-Bus-Hoi-An/Hue-45-Le-Loi-street", "12Go Link")</f>
        <v>12Go Link</v>
      </c>
      <c r="E6244" s="2" t="s">
        <v>5708</v>
      </c>
    </row>
    <row r="6245">
      <c r="A6245" s="2" t="s">
        <v>5638</v>
      </c>
      <c r="B6245" s="2" t="s">
        <v>5604</v>
      </c>
      <c r="C6245" s="2" t="s">
        <v>5712</v>
      </c>
      <c r="D6245" s="3" t="str">
        <f>HYPERLINK("https://12go.asia/en/travel/Viet-Nam-Travel-Bus-Hoi-An/Vincom-Plaza-Hue", "12Go Link")</f>
        <v>12Go Link</v>
      </c>
      <c r="E6245" s="2" t="s">
        <v>5708</v>
      </c>
    </row>
    <row r="6246">
      <c r="A6246" s="2" t="s">
        <v>5638</v>
      </c>
      <c r="B6246" s="2" t="s">
        <v>5607</v>
      </c>
      <c r="C6246" s="2" t="s">
        <v>5713</v>
      </c>
      <c r="D6246" s="3" t="str">
        <f>HYPERLINK("https://12go.asia/en/travel/105-Ton-Duc-Thang/46-July-27-Street", "12Go Link")</f>
        <v>12Go Link</v>
      </c>
      <c r="E6246" s="2" t="s">
        <v>5602</v>
      </c>
    </row>
    <row r="6247">
      <c r="A6247" s="2" t="s">
        <v>5638</v>
      </c>
      <c r="B6247" s="2" t="s">
        <v>5607</v>
      </c>
      <c r="C6247" s="2" t="s">
        <v>5714</v>
      </c>
      <c r="D6247" s="3" t="str">
        <f>HYPERLINK("https://12go.asia/en/travel/105-Ton-Duc-Thang/Seven-Coffee", "12Go Link")</f>
        <v>12Go Link</v>
      </c>
      <c r="E6247" s="2" t="s">
        <v>5602</v>
      </c>
    </row>
    <row r="6248">
      <c r="A6248" s="2" t="s">
        <v>5638</v>
      </c>
      <c r="B6248" s="2" t="s">
        <v>5611</v>
      </c>
      <c r="C6248" s="2" t="s">
        <v>5715</v>
      </c>
      <c r="D6248" s="3" t="str">
        <f t="shared" ref="D6248:D6249" si="1155">HYPERLINK("https://12go.asia/en/travel/105-Ton-Duc-Thang/Central-Backpackers-Hostel-Phong-Nha", "12Go Link")</f>
        <v>12Go Link</v>
      </c>
      <c r="E6248" s="2" t="s">
        <v>5602</v>
      </c>
    </row>
    <row r="6249">
      <c r="A6249" s="2" t="s">
        <v>5638</v>
      </c>
      <c r="B6249" s="2" t="s">
        <v>5611</v>
      </c>
      <c r="C6249" s="2" t="s">
        <v>5715</v>
      </c>
      <c r="D6249" s="3" t="str">
        <f t="shared" si="1155"/>
        <v>12Go Link</v>
      </c>
      <c r="E6249" s="2" t="s">
        <v>5615</v>
      </c>
    </row>
    <row r="6250">
      <c r="A6250" s="2" t="s">
        <v>5638</v>
      </c>
      <c r="B6250" s="2" t="s">
        <v>5611</v>
      </c>
      <c r="C6250" s="2" t="s">
        <v>5716</v>
      </c>
      <c r="D6250" s="3" t="str">
        <f>HYPERLINK("https://12go.asia/en/travel/105-Ton-Duc-Thang/Thien-Phu-Hostel", "12Go Link")</f>
        <v>12Go Link</v>
      </c>
      <c r="E6250" s="2" t="s">
        <v>5602</v>
      </c>
    </row>
    <row r="6251">
      <c r="A6251" s="2" t="s">
        <v>5638</v>
      </c>
      <c r="B6251" s="2" t="s">
        <v>5611</v>
      </c>
      <c r="C6251" s="2" t="s">
        <v>5717</v>
      </c>
      <c r="D6251" s="3" t="str">
        <f>HYPERLINK("https://12go.asia/en/travel/105-Ton-Duc-Thang/TP-Booking-Office", "12Go Link")</f>
        <v>12Go Link</v>
      </c>
      <c r="E6251" s="2" t="s">
        <v>5619</v>
      </c>
    </row>
    <row r="6252">
      <c r="A6252" s="2" t="s">
        <v>5638</v>
      </c>
      <c r="B6252" s="2" t="s">
        <v>5617</v>
      </c>
      <c r="C6252" s="2" t="s">
        <v>5718</v>
      </c>
      <c r="D6252" s="3" t="str">
        <f>HYPERLINK("https://12go.asia/en/travel/105-Ton-Duc-Thang/Dong-Hoi", "12Go Link")</f>
        <v>12Go Link</v>
      </c>
      <c r="E6252" s="2" t="s">
        <v>5619</v>
      </c>
    </row>
    <row r="6253">
      <c r="A6253" s="2" t="s">
        <v>5604</v>
      </c>
      <c r="B6253" s="2" t="s">
        <v>5594</v>
      </c>
      <c r="C6253" s="2" t="s">
        <v>5719</v>
      </c>
      <c r="D6253" s="3" t="str">
        <f>HYPERLINK("https://12go.asia/en/travel/7-Doi-Cung-Hue/3-Thang-2-street", "12Go Link")</f>
        <v>12Go Link</v>
      </c>
      <c r="E6253" s="2" t="s">
        <v>5602</v>
      </c>
    </row>
    <row r="6254">
      <c r="A6254" s="2" t="s">
        <v>5604</v>
      </c>
      <c r="B6254" s="2" t="s">
        <v>5594</v>
      </c>
      <c r="C6254" s="2" t="s">
        <v>5720</v>
      </c>
      <c r="D6254" s="3" t="str">
        <f>HYPERLINK("https://12go.asia/en/travel/7-Doi-Cung-Hue/Danang-To-Vietnam", "12Go Link")</f>
        <v>12Go Link</v>
      </c>
      <c r="E6254" s="2" t="s">
        <v>5602</v>
      </c>
    </row>
    <row r="6255">
      <c r="A6255" s="2" t="s">
        <v>5604</v>
      </c>
      <c r="B6255" s="2" t="s">
        <v>5597</v>
      </c>
      <c r="C6255" s="2" t="s">
        <v>5721</v>
      </c>
      <c r="D6255" s="3" t="str">
        <f>HYPERLINK("https://12go.asia/en/travel/7-Doi-Cung-Hue/200-Tran-Quang-Khai", "12Go Link")</f>
        <v>12Go Link</v>
      </c>
      <c r="E6255" s="2" t="s">
        <v>5602</v>
      </c>
    </row>
    <row r="6256">
      <c r="A6256" s="2" t="s">
        <v>5604</v>
      </c>
      <c r="B6256" s="2" t="s">
        <v>5597</v>
      </c>
      <c r="C6256" s="2" t="s">
        <v>5722</v>
      </c>
      <c r="D6256" s="3" t="str">
        <f>HYPERLINK("https://12go.asia/en/travel/7-Doi-Cung-Hue/208-Tran-Quang-Khai", "12Go Link")</f>
        <v>12Go Link</v>
      </c>
      <c r="E6256" s="2" t="s">
        <v>5602</v>
      </c>
    </row>
    <row r="6257">
      <c r="A6257" s="2" t="s">
        <v>5604</v>
      </c>
      <c r="B6257" s="2" t="s">
        <v>5597</v>
      </c>
      <c r="C6257" s="2" t="s">
        <v>5723</v>
      </c>
      <c r="D6257" s="3" t="str">
        <f t="shared" ref="D6257:D6258" si="1156">HYPERLINK("https://12go.asia/en/travel/78-Tran-Quang-Khai/16-Hang-Chinh-Hanoi", "12Go Link")</f>
        <v>12Go Link</v>
      </c>
      <c r="E6257" s="2" t="s">
        <v>5599</v>
      </c>
    </row>
    <row r="6258">
      <c r="A6258" s="2" t="s">
        <v>5604</v>
      </c>
      <c r="B6258" s="2" t="s">
        <v>5597</v>
      </c>
      <c r="C6258" s="2" t="s">
        <v>5723</v>
      </c>
      <c r="D6258" s="3" t="str">
        <f t="shared" si="1156"/>
        <v>12Go Link</v>
      </c>
      <c r="E6258" s="2" t="s">
        <v>5600</v>
      </c>
    </row>
    <row r="6259">
      <c r="A6259" s="2" t="s">
        <v>5604</v>
      </c>
      <c r="B6259" s="2" t="s">
        <v>5638</v>
      </c>
      <c r="C6259" s="2" t="s">
        <v>5724</v>
      </c>
      <c r="D6259" s="3" t="str">
        <f>HYPERLINK("https://12go.asia/en/travel/59-Bui-Thi-Xuan/105-Ton-Duc-Thang", "12Go Link")</f>
        <v>12Go Link</v>
      </c>
      <c r="E6259" s="2" t="s">
        <v>5602</v>
      </c>
    </row>
    <row r="6260">
      <c r="A6260" s="2" t="s">
        <v>5604</v>
      </c>
      <c r="B6260" s="2" t="s">
        <v>5638</v>
      </c>
      <c r="C6260" s="2" t="s">
        <v>5725</v>
      </c>
      <c r="D6260" s="3" t="str">
        <f>HYPERLINK("https://12go.asia/en/travel/7-Doi-Cung-Hue/105-Ton-Duc-Thang", "12Go Link")</f>
        <v>12Go Link</v>
      </c>
      <c r="E6260" s="2" t="s">
        <v>5602</v>
      </c>
    </row>
    <row r="6261">
      <c r="A6261" s="2" t="s">
        <v>5604</v>
      </c>
      <c r="B6261" s="2" t="s">
        <v>5638</v>
      </c>
      <c r="C6261" s="2" t="s">
        <v>5726</v>
      </c>
      <c r="D6261" s="3" t="str">
        <f>HYPERLINK("https://12go.asia/en/travel/Hue-45-Le-Loi-street/105-Ton-Duc-Thang", "12Go Link")</f>
        <v>12Go Link</v>
      </c>
      <c r="E6261" s="2" t="s">
        <v>5708</v>
      </c>
    </row>
    <row r="6262">
      <c r="A6262" s="2" t="s">
        <v>5604</v>
      </c>
      <c r="B6262" s="2" t="s">
        <v>5638</v>
      </c>
      <c r="C6262" s="2" t="s">
        <v>5727</v>
      </c>
      <c r="D6262" s="3" t="str">
        <f>HYPERLINK("https://12go.asia/en/travel/Hue-45-Le-Loi-street/Viet-Nam-Travel-Bus-Hoi-An", "12Go Link")</f>
        <v>12Go Link</v>
      </c>
      <c r="E6262" s="2" t="s">
        <v>5708</v>
      </c>
    </row>
    <row r="6263">
      <c r="A6263" s="2" t="s">
        <v>5604</v>
      </c>
      <c r="B6263" s="2" t="s">
        <v>5638</v>
      </c>
      <c r="C6263" s="2" t="s">
        <v>5728</v>
      </c>
      <c r="D6263" s="3" t="str">
        <f>HYPERLINK("https://12go.asia/en/travel/Vincom-Plaza-Hue/105-Ton-Duc-Thang", "12Go Link")</f>
        <v>12Go Link</v>
      </c>
      <c r="E6263" s="2" t="s">
        <v>5708</v>
      </c>
    </row>
    <row r="6264">
      <c r="A6264" s="2" t="s">
        <v>5604</v>
      </c>
      <c r="B6264" s="2" t="s">
        <v>5638</v>
      </c>
      <c r="C6264" s="2" t="s">
        <v>5729</v>
      </c>
      <c r="D6264" s="3" t="str">
        <f>HYPERLINK("https://12go.asia/en/travel/Vincom-Plaza-Hue/Viet-Nam-Travel-Bus-Hoi-An", "12Go Link")</f>
        <v>12Go Link</v>
      </c>
      <c r="E6264" s="2" t="s">
        <v>5708</v>
      </c>
    </row>
    <row r="6265">
      <c r="A6265" s="2" t="s">
        <v>5604</v>
      </c>
      <c r="B6265" s="2" t="s">
        <v>5607</v>
      </c>
      <c r="C6265" s="2" t="s">
        <v>5730</v>
      </c>
      <c r="D6265" s="3" t="str">
        <f>HYPERLINK("https://12go.asia/en/travel/7-Doi-Cung-Hue/46-July-27-Street", "12Go Link")</f>
        <v>12Go Link</v>
      </c>
      <c r="E6265" s="2" t="s">
        <v>5602</v>
      </c>
    </row>
    <row r="6266">
      <c r="A6266" s="2" t="s">
        <v>5604</v>
      </c>
      <c r="B6266" s="2" t="s">
        <v>5607</v>
      </c>
      <c r="C6266" s="2" t="s">
        <v>5731</v>
      </c>
      <c r="D6266" s="3" t="str">
        <f>HYPERLINK("https://12go.asia/en/travel/7-Doi-Cung-Hue/Seven-Coffee", "12Go Link")</f>
        <v>12Go Link</v>
      </c>
      <c r="E6266" s="2" t="s">
        <v>5602</v>
      </c>
    </row>
    <row r="6267">
      <c r="A6267" s="2" t="s">
        <v>5604</v>
      </c>
      <c r="B6267" s="2" t="s">
        <v>5611</v>
      </c>
      <c r="C6267" s="2" t="s">
        <v>5732</v>
      </c>
      <c r="D6267" s="3" t="str">
        <f>HYPERLINK("https://12go.asia/en/travel/59-Bui-Thi-Xuan/Thien-Phu-Hostel", "12Go Link")</f>
        <v>12Go Link</v>
      </c>
      <c r="E6267" s="2" t="s">
        <v>5602</v>
      </c>
    </row>
    <row r="6268">
      <c r="A6268" s="2" t="s">
        <v>5604</v>
      </c>
      <c r="B6268" s="2" t="s">
        <v>5611</v>
      </c>
      <c r="C6268" s="2" t="s">
        <v>5733</v>
      </c>
      <c r="D6268" s="3" t="str">
        <f>HYPERLINK("https://12go.asia/en/travel/60-Le-Loi/Thien-Phu-Hostel", "12Go Link")</f>
        <v>12Go Link</v>
      </c>
      <c r="E6268" s="2" t="s">
        <v>5734</v>
      </c>
    </row>
    <row r="6269">
      <c r="A6269" s="2" t="s">
        <v>5604</v>
      </c>
      <c r="B6269" s="2" t="s">
        <v>5611</v>
      </c>
      <c r="C6269" s="2" t="s">
        <v>5735</v>
      </c>
      <c r="D6269" s="3" t="str">
        <f>HYPERLINK("https://12go.asia/en/travel/7-Doi-Cung-Hue/Central-Backpackers-Hostel-Phong-Nha", "12Go Link")</f>
        <v>12Go Link</v>
      </c>
      <c r="E6269" s="2" t="s">
        <v>5602</v>
      </c>
    </row>
    <row r="6270">
      <c r="A6270" s="2" t="s">
        <v>5604</v>
      </c>
      <c r="B6270" s="2" t="s">
        <v>5611</v>
      </c>
      <c r="C6270" s="2" t="s">
        <v>5736</v>
      </c>
      <c r="D6270" s="3" t="str">
        <f>HYPERLINK("https://12go.asia/en/travel/78-Tran-Quang-Khai/Central-Backpackers-Hostel-Phong-Nha", "12Go Link")</f>
        <v>12Go Link</v>
      </c>
      <c r="E6270" s="2" t="s">
        <v>5600</v>
      </c>
    </row>
    <row r="6271">
      <c r="A6271" s="2" t="s">
        <v>5604</v>
      </c>
      <c r="B6271" s="2" t="s">
        <v>5611</v>
      </c>
      <c r="C6271" s="2" t="s">
        <v>5737</v>
      </c>
      <c r="D6271" s="3" t="str">
        <f>HYPERLINK("https://12go.asia/en/travel/Hue-Train-Station/Central-Backpackers-Hostel-Phong-Nha", "12Go Link")</f>
        <v>12Go Link</v>
      </c>
      <c r="E6271" s="2" t="s">
        <v>5615</v>
      </c>
    </row>
    <row r="6272">
      <c r="A6272" s="2" t="s">
        <v>5604</v>
      </c>
      <c r="B6272" s="2" t="s">
        <v>5738</v>
      </c>
      <c r="C6272" s="2" t="s">
        <v>5739</v>
      </c>
      <c r="D6272" s="3" t="str">
        <f>HYPERLINK("https://12go.asia/en/travel/38-Le-Loi/Hoi-An-Water-Puppet-Show", "12Go Link")</f>
        <v>12Go Link</v>
      </c>
      <c r="E6272" s="2" t="s">
        <v>5740</v>
      </c>
    </row>
    <row r="6273">
      <c r="A6273" s="2" t="s">
        <v>5604</v>
      </c>
      <c r="B6273" s="2" t="s">
        <v>5655</v>
      </c>
      <c r="C6273" s="2" t="s">
        <v>5741</v>
      </c>
      <c r="D6273" s="3" t="str">
        <f t="shared" ref="D6273:D6274" si="1157">HYPERLINK("https://12go.asia/en/travel/78-Tran-Quang-Khai/Tung-Luxury-Hotel-Ha-Long", "12Go Link")</f>
        <v>12Go Link</v>
      </c>
      <c r="E6273" s="2" t="s">
        <v>5599</v>
      </c>
    </row>
    <row r="6274">
      <c r="A6274" s="2" t="s">
        <v>5604</v>
      </c>
      <c r="B6274" s="2" t="s">
        <v>5655</v>
      </c>
      <c r="C6274" s="2" t="s">
        <v>5741</v>
      </c>
      <c r="D6274" s="3" t="str">
        <f t="shared" si="1157"/>
        <v>12Go Link</v>
      </c>
      <c r="E6274" s="2" t="s">
        <v>5600</v>
      </c>
    </row>
    <row r="6275">
      <c r="A6275" s="2" t="s">
        <v>5666</v>
      </c>
      <c r="B6275" s="2" t="s">
        <v>5597</v>
      </c>
      <c r="C6275" s="2" t="s">
        <v>5742</v>
      </c>
      <c r="D6275" s="3" t="str">
        <f>HYPERLINK("https://12go.asia/en/travel/Sapa-Lao-Cai/Hanoi", "12Go Link")</f>
        <v>12Go Link</v>
      </c>
      <c r="E6275" s="2" t="s">
        <v>5668</v>
      </c>
    </row>
    <row r="6276">
      <c r="A6276" s="2" t="s">
        <v>5666</v>
      </c>
      <c r="B6276" s="2" t="s">
        <v>5743</v>
      </c>
      <c r="C6276" s="2" t="s">
        <v>5744</v>
      </c>
      <c r="D6276" s="3" t="str">
        <f>HYPERLINK("https://12go.asia/en/travel/Bac-Ha-Bus-Station/Hanoi-Airport", "12Go Link")</f>
        <v>12Go Link</v>
      </c>
      <c r="E6276" s="2" t="s">
        <v>5745</v>
      </c>
    </row>
    <row r="6277">
      <c r="A6277" s="2" t="s">
        <v>5666</v>
      </c>
      <c r="B6277" s="2" t="s">
        <v>5655</v>
      </c>
      <c r="C6277" s="2" t="s">
        <v>5746</v>
      </c>
      <c r="D6277" s="3" t="str">
        <f>HYPERLINK("https://12go.asia/en/travel/Bac-Ha-Bus-Station/239-Nguyen-Van-Cu-Ha-Long", "12Go Link")</f>
        <v>12Go Link</v>
      </c>
      <c r="E6277" s="2" t="s">
        <v>5745</v>
      </c>
    </row>
    <row r="6278">
      <c r="A6278" s="2" t="s">
        <v>5666</v>
      </c>
      <c r="B6278" s="2" t="s">
        <v>5655</v>
      </c>
      <c r="C6278" s="2" t="s">
        <v>5747</v>
      </c>
      <c r="D6278" s="3" t="str">
        <f>HYPERLINK("https://12go.asia/en/travel/Bac-Ha-Bus-Station/Bai-Chay-Bus-Station", "12Go Link")</f>
        <v>12Go Link</v>
      </c>
      <c r="E6278" s="2" t="s">
        <v>5745</v>
      </c>
    </row>
    <row r="6279">
      <c r="A6279" s="2" t="s">
        <v>5666</v>
      </c>
      <c r="B6279" s="2" t="s">
        <v>5655</v>
      </c>
      <c r="C6279" s="2" t="s">
        <v>5748</v>
      </c>
      <c r="D6279" s="3" t="str">
        <f>HYPERLINK("https://12go.asia/en/travel/Bac-Ha-Bus-Station/Cai-Rong-Bus-Station", "12Go Link")</f>
        <v>12Go Link</v>
      </c>
      <c r="E6279" s="2" t="s">
        <v>5745</v>
      </c>
    </row>
    <row r="6280">
      <c r="A6280" s="2" t="s">
        <v>5588</v>
      </c>
      <c r="B6280" s="2" t="s">
        <v>5577</v>
      </c>
      <c r="C6280" s="2" t="s">
        <v>5749</v>
      </c>
      <c r="D6280" s="3" t="str">
        <f>HYPERLINK("https://12go.asia/en/travel/Apec-Mandala-Chambay/Da-Lat-Bus-Station", "12Go Link")</f>
        <v>12Go Link</v>
      </c>
      <c r="E6280" s="2" t="s">
        <v>5579</v>
      </c>
    </row>
    <row r="6281">
      <c r="A6281" s="2" t="s">
        <v>5588</v>
      </c>
      <c r="B6281" s="2" t="s">
        <v>5577</v>
      </c>
      <c r="C6281" s="2" t="s">
        <v>5750</v>
      </c>
      <c r="D6281" s="3" t="str">
        <f>HYPERLINK("https://12go.asia/en/travel/Centara-Mirage-Resort/Da-Lat-Bus-Station", "12Go Link")</f>
        <v>12Go Link</v>
      </c>
      <c r="E6281" s="2" t="s">
        <v>5579</v>
      </c>
    </row>
    <row r="6282">
      <c r="A6282" s="2" t="s">
        <v>5588</v>
      </c>
      <c r="B6282" s="2" t="s">
        <v>5577</v>
      </c>
      <c r="C6282" s="2" t="s">
        <v>5751</v>
      </c>
      <c r="D6282" s="3" t="str">
        <f>HYPERLINK("https://12go.asia/en/travel/Mui-Ne/Da-Lat", "12Go Link")</f>
        <v>12Go Link</v>
      </c>
      <c r="E6282" s="2" t="s">
        <v>215</v>
      </c>
    </row>
    <row r="6283">
      <c r="A6283" s="2" t="s">
        <v>5588</v>
      </c>
      <c r="B6283" s="2" t="s">
        <v>5577</v>
      </c>
      <c r="C6283" s="2" t="s">
        <v>5752</v>
      </c>
      <c r="D6283" s="3" t="str">
        <f>HYPERLINK("https://12go.asia/en/travel/Mui-Ne/Da-Lat-Airport", "12Go Link")</f>
        <v>12Go Link</v>
      </c>
      <c r="E6283" s="2" t="s">
        <v>5648</v>
      </c>
    </row>
    <row r="6284">
      <c r="A6284" s="2" t="s">
        <v>5588</v>
      </c>
      <c r="B6284" s="2" t="s">
        <v>5577</v>
      </c>
      <c r="C6284" s="2" t="s">
        <v>5753</v>
      </c>
      <c r="D6284" s="3" t="str">
        <f>HYPERLINK("https://12go.asia/en/travel/Pandanus-Resort/Da-Lat-Bus-Station", "12Go Link")</f>
        <v>12Go Link</v>
      </c>
      <c r="E6284" s="2" t="s">
        <v>5579</v>
      </c>
    </row>
    <row r="6285">
      <c r="A6285" s="2" t="s">
        <v>5588</v>
      </c>
      <c r="B6285" s="2" t="s">
        <v>5577</v>
      </c>
      <c r="C6285" s="2" t="s">
        <v>5754</v>
      </c>
      <c r="D6285" s="3" t="str">
        <f>HYPERLINK("https://12go.asia/en/travel/The-Anam/Da-Lat-Bus-Station", "12Go Link")</f>
        <v>12Go Link</v>
      </c>
      <c r="E6285" s="2" t="s">
        <v>5579</v>
      </c>
    </row>
    <row r="6286">
      <c r="A6286" s="2" t="s">
        <v>5588</v>
      </c>
      <c r="B6286" s="2" t="s">
        <v>5577</v>
      </c>
      <c r="C6286" s="2" t="s">
        <v>5755</v>
      </c>
      <c r="D6286" s="3" t="str">
        <f>HYPERLINK("https://12go.asia/en/travel/The-Cliff-Resort/Da-Lat-Bus-Station", "12Go Link")</f>
        <v>12Go Link</v>
      </c>
      <c r="E6286" s="2" t="s">
        <v>5579</v>
      </c>
    </row>
    <row r="6287">
      <c r="A6287" s="2" t="s">
        <v>5588</v>
      </c>
      <c r="B6287" s="2" t="s">
        <v>253</v>
      </c>
      <c r="C6287" s="2" t="s">
        <v>5756</v>
      </c>
      <c r="D6287" s="3" t="str">
        <f t="shared" ref="D6287:D6289" si="1158">HYPERLINK("https://12go.asia/en/travel/Mui-Ne/Ho-Chi-Minh", "12Go Link")</f>
        <v>12Go Link</v>
      </c>
      <c r="E6287" s="2" t="s">
        <v>4968</v>
      </c>
    </row>
    <row r="6288">
      <c r="A6288" s="2" t="s">
        <v>5588</v>
      </c>
      <c r="B6288" s="2" t="s">
        <v>253</v>
      </c>
      <c r="C6288" s="2" t="s">
        <v>5756</v>
      </c>
      <c r="D6288" s="3" t="str">
        <f t="shared" si="1158"/>
        <v>12Go Link</v>
      </c>
      <c r="E6288" s="2" t="s">
        <v>5676</v>
      </c>
    </row>
    <row r="6289">
      <c r="A6289" s="2" t="s">
        <v>5588</v>
      </c>
      <c r="B6289" s="2" t="s">
        <v>253</v>
      </c>
      <c r="C6289" s="2" t="s">
        <v>5756</v>
      </c>
      <c r="D6289" s="3" t="str">
        <f t="shared" si="1158"/>
        <v>12Go Link</v>
      </c>
      <c r="E6289" s="2" t="s">
        <v>3739</v>
      </c>
    </row>
    <row r="6290">
      <c r="A6290" s="2" t="s">
        <v>5588</v>
      </c>
      <c r="B6290" s="2" t="s">
        <v>253</v>
      </c>
      <c r="C6290" s="2" t="s">
        <v>5757</v>
      </c>
      <c r="D6290" s="3" t="str">
        <f t="shared" ref="D6290:D6292" si="1159">HYPERLINK("https://12go.asia/en/travel/Mui-Ne/Ho-Chi-Minh-city-centre", "12Go Link")</f>
        <v>12Go Link</v>
      </c>
      <c r="E6290" s="2" t="s">
        <v>4968</v>
      </c>
    </row>
    <row r="6291">
      <c r="A6291" s="2" t="s">
        <v>5588</v>
      </c>
      <c r="B6291" s="2" t="s">
        <v>253</v>
      </c>
      <c r="C6291" s="2" t="s">
        <v>5757</v>
      </c>
      <c r="D6291" s="3" t="str">
        <f t="shared" si="1159"/>
        <v>12Go Link</v>
      </c>
      <c r="E6291" s="2" t="s">
        <v>5676</v>
      </c>
    </row>
    <row r="6292">
      <c r="A6292" s="2" t="s">
        <v>5588</v>
      </c>
      <c r="B6292" s="2" t="s">
        <v>253</v>
      </c>
      <c r="C6292" s="2" t="s">
        <v>5757</v>
      </c>
      <c r="D6292" s="3" t="str">
        <f t="shared" si="1159"/>
        <v>12Go Link</v>
      </c>
      <c r="E6292" s="2" t="s">
        <v>3739</v>
      </c>
    </row>
    <row r="6293">
      <c r="A6293" s="2" t="s">
        <v>5588</v>
      </c>
      <c r="B6293" s="2" t="s">
        <v>5617</v>
      </c>
      <c r="C6293" s="2" t="s">
        <v>5758</v>
      </c>
      <c r="D6293" s="3" t="str">
        <f>HYPERLINK("https://12go.asia/en/travel/mui-ne/quang-binh", "12Go Link")</f>
        <v>12Go Link</v>
      </c>
      <c r="E6293" s="2" t="s">
        <v>77</v>
      </c>
    </row>
    <row r="6294">
      <c r="A6294" s="2" t="s">
        <v>5759</v>
      </c>
      <c r="B6294" s="2" t="s">
        <v>5760</v>
      </c>
      <c r="C6294" s="2" t="s">
        <v>5761</v>
      </c>
      <c r="D6294" s="3" t="str">
        <f>HYPERLINK("https://12go.asia/en/travel/nghe-an/tam-coc", "12Go Link")</f>
        <v>12Go Link</v>
      </c>
      <c r="E6294" s="2" t="s">
        <v>77</v>
      </c>
    </row>
    <row r="6295">
      <c r="A6295" s="2" t="s">
        <v>5762</v>
      </c>
      <c r="B6295" s="2" t="s">
        <v>253</v>
      </c>
      <c r="C6295" s="2" t="s">
        <v>5763</v>
      </c>
      <c r="D6295" s="3" t="str">
        <f>HYPERLINK("https://12go.asia/en/travel/Nha-Trang-City-Hotel-Transfer/Ho-Chi-Minh-City-Center", "12Go Link")</f>
        <v>12Go Link</v>
      </c>
      <c r="E6295" s="2" t="s">
        <v>5648</v>
      </c>
    </row>
    <row r="6296">
      <c r="A6296" s="2" t="s">
        <v>5607</v>
      </c>
      <c r="B6296" s="2" t="s">
        <v>5594</v>
      </c>
      <c r="C6296" s="2" t="s">
        <v>5764</v>
      </c>
      <c r="D6296" s="3" t="str">
        <f>HYPERLINK("https://12go.asia/en/travel/46-July-27-Street/3-Thang-2-street", "12Go Link")</f>
        <v>12Go Link</v>
      </c>
      <c r="E6296" s="2" t="s">
        <v>5602</v>
      </c>
    </row>
    <row r="6297">
      <c r="A6297" s="2" t="s">
        <v>5607</v>
      </c>
      <c r="B6297" s="2" t="s">
        <v>5594</v>
      </c>
      <c r="C6297" s="2" t="s">
        <v>5765</v>
      </c>
      <c r="D6297" s="3" t="str">
        <f>HYPERLINK("https://12go.asia/en/travel/Dong-Gung-Bus-Station/217-Ho-Nghinh", "12Go Link")</f>
        <v>12Go Link</v>
      </c>
      <c r="E6297" s="2" t="s">
        <v>5600</v>
      </c>
    </row>
    <row r="6298">
      <c r="A6298" s="2" t="s">
        <v>5607</v>
      </c>
      <c r="B6298" s="2" t="s">
        <v>5594</v>
      </c>
      <c r="C6298" s="2" t="s">
        <v>5766</v>
      </c>
      <c r="D6298" s="3" t="str">
        <f>HYPERLINK("https://12go.asia/en/travel/Mikes-Travel-Agency/Da-Nang-Central-Bus-Station", "12Go Link")</f>
        <v>12Go Link</v>
      </c>
      <c r="E6298" s="2" t="s">
        <v>5767</v>
      </c>
    </row>
    <row r="6299">
      <c r="A6299" s="2" t="s">
        <v>5607</v>
      </c>
      <c r="B6299" s="2" t="s">
        <v>5594</v>
      </c>
      <c r="C6299" s="2" t="s">
        <v>5768</v>
      </c>
      <c r="D6299" s="3" t="str">
        <f>HYPERLINK("https://12go.asia/en/travel/Seven-Coffee/Danang-To-Vietnam", "12Go Link")</f>
        <v>12Go Link</v>
      </c>
      <c r="E6299" s="2" t="s">
        <v>5602</v>
      </c>
    </row>
    <row r="6300">
      <c r="A6300" s="2" t="s">
        <v>5607</v>
      </c>
      <c r="B6300" s="2" t="s">
        <v>5622</v>
      </c>
      <c r="C6300" s="2" t="s">
        <v>5769</v>
      </c>
      <c r="D6300" s="3" t="str">
        <f>HYPERLINK("https://12go.asia/en/travel/Trang-An-Luxury-Homestay/243-Nui-Ngoc", "12Go Link")</f>
        <v>12Go Link</v>
      </c>
      <c r="E6300" s="2" t="s">
        <v>5637</v>
      </c>
    </row>
    <row r="6301">
      <c r="A6301" s="2" t="s">
        <v>5607</v>
      </c>
      <c r="B6301" s="2" t="s">
        <v>5653</v>
      </c>
      <c r="C6301" s="2" t="s">
        <v>5770</v>
      </c>
      <c r="D6301" s="3" t="str">
        <f>HYPERLINK("https://12go.asia/en/travel/Mikes-Travel-Agency/Hai-Phong-city-center", "12Go Link")</f>
        <v>12Go Link</v>
      </c>
      <c r="E6301" s="2" t="s">
        <v>5771</v>
      </c>
    </row>
    <row r="6302">
      <c r="A6302" s="2" t="s">
        <v>5607</v>
      </c>
      <c r="B6302" s="2" t="s">
        <v>5638</v>
      </c>
      <c r="C6302" s="2" t="s">
        <v>5772</v>
      </c>
      <c r="D6302" s="3" t="str">
        <f>HYPERLINK("https://12go.asia/en/travel/46-July-27-Street/105-Ton-Duc-Thang", "12Go Link")</f>
        <v>12Go Link</v>
      </c>
      <c r="E6302" s="2" t="s">
        <v>5602</v>
      </c>
    </row>
    <row r="6303">
      <c r="A6303" s="2" t="s">
        <v>5607</v>
      </c>
      <c r="B6303" s="2" t="s">
        <v>5638</v>
      </c>
      <c r="C6303" s="2" t="s">
        <v>5773</v>
      </c>
      <c r="D6303" s="3" t="str">
        <f>HYPERLINK("https://12go.asia/en/travel/Dong-Gung-Bus-Station/Pool-Side-Villa", "12Go Link")</f>
        <v>12Go Link</v>
      </c>
      <c r="E6303" s="2" t="s">
        <v>5600</v>
      </c>
    </row>
    <row r="6304">
      <c r="A6304" s="2" t="s">
        <v>5607</v>
      </c>
      <c r="B6304" s="2" t="s">
        <v>5638</v>
      </c>
      <c r="C6304" s="2" t="s">
        <v>5774</v>
      </c>
      <c r="D6304" s="3" t="str">
        <f>HYPERLINK("https://12go.asia/en/travel/Seven-Coffee/105-Ton-Duc-Thang", "12Go Link")</f>
        <v>12Go Link</v>
      </c>
      <c r="E6304" s="2" t="s">
        <v>5602</v>
      </c>
    </row>
    <row r="6305">
      <c r="A6305" s="2" t="s">
        <v>5607</v>
      </c>
      <c r="B6305" s="2" t="s">
        <v>5604</v>
      </c>
      <c r="C6305" s="2" t="s">
        <v>5775</v>
      </c>
      <c r="D6305" s="3" t="str">
        <f>HYPERLINK("https://12go.asia/en/travel/46-July-27-Street/7-Doi-Cung-Hue", "12Go Link")</f>
        <v>12Go Link</v>
      </c>
      <c r="E6305" s="2" t="s">
        <v>5602</v>
      </c>
    </row>
    <row r="6306">
      <c r="A6306" s="2" t="s">
        <v>5607</v>
      </c>
      <c r="B6306" s="2" t="s">
        <v>5604</v>
      </c>
      <c r="C6306" s="2" t="s">
        <v>5776</v>
      </c>
      <c r="D6306" s="3" t="str">
        <f>HYPERLINK("https://12go.asia/en/travel/Seven-Coffee/2-Lam-Hoang", "12Go Link")</f>
        <v>12Go Link</v>
      </c>
      <c r="E6306" s="2" t="s">
        <v>5602</v>
      </c>
    </row>
    <row r="6307">
      <c r="A6307" s="2" t="s">
        <v>5607</v>
      </c>
      <c r="B6307" s="2" t="s">
        <v>5611</v>
      </c>
      <c r="C6307" s="2" t="s">
        <v>5777</v>
      </c>
      <c r="D6307" s="3" t="str">
        <f>HYPERLINK("https://12go.asia/en/travel/46-July-27-Street/Central-Backpackers-Hostel-Phong-Nha", "12Go Link")</f>
        <v>12Go Link</v>
      </c>
      <c r="E6307" s="2" t="s">
        <v>5602</v>
      </c>
    </row>
    <row r="6308">
      <c r="A6308" s="2" t="s">
        <v>5607</v>
      </c>
      <c r="B6308" s="2" t="s">
        <v>5611</v>
      </c>
      <c r="C6308" s="2" t="s">
        <v>5778</v>
      </c>
      <c r="D6308" s="3" t="str">
        <f>HYPERLINK("https://12go.asia/en/travel/Dong-Gung-Bus-Station/Central-Backpackers-Hostel-Phong-Nha", "12Go Link")</f>
        <v>12Go Link</v>
      </c>
      <c r="E6308" s="2" t="s">
        <v>5600</v>
      </c>
    </row>
    <row r="6309">
      <c r="A6309" s="2" t="s">
        <v>5607</v>
      </c>
      <c r="B6309" s="2" t="s">
        <v>5611</v>
      </c>
      <c r="C6309" s="2" t="s">
        <v>5779</v>
      </c>
      <c r="D6309" s="3" t="str">
        <f>HYPERLINK("https://12go.asia/en/travel/Seven-Coffee/Central-Backpackers-Hostel-Phong-Nha", "12Go Link")</f>
        <v>12Go Link</v>
      </c>
      <c r="E6309" s="2" t="s">
        <v>5602</v>
      </c>
    </row>
    <row r="6310">
      <c r="A6310" s="2" t="s">
        <v>5743</v>
      </c>
      <c r="B6310" s="2" t="s">
        <v>5655</v>
      </c>
      <c r="C6310" s="2" t="s">
        <v>5780</v>
      </c>
      <c r="D6310" s="3" t="str">
        <f>HYPERLINK("https://12go.asia/en/travel/Hanoi-Airport/239-Nguyen-Van-Cu-Ha-Long", "12Go Link")</f>
        <v>12Go Link</v>
      </c>
      <c r="E6310" s="2" t="s">
        <v>5781</v>
      </c>
    </row>
    <row r="6311">
      <c r="A6311" s="2" t="s">
        <v>5611</v>
      </c>
      <c r="B6311" s="2" t="s">
        <v>5594</v>
      </c>
      <c r="C6311" s="2" t="s">
        <v>5782</v>
      </c>
      <c r="D6311" s="3" t="str">
        <f>HYPERLINK("https://12go.asia/en/travel/Central-Backpackers-Hostel-Phong-Nha/217-Ho-Nghinh", "12Go Link")</f>
        <v>12Go Link</v>
      </c>
      <c r="E6311" s="2" t="s">
        <v>5600</v>
      </c>
    </row>
    <row r="6312">
      <c r="A6312" s="2" t="s">
        <v>5611</v>
      </c>
      <c r="B6312" s="2" t="s">
        <v>5594</v>
      </c>
      <c r="C6312" s="2" t="s">
        <v>5783</v>
      </c>
      <c r="D6312" s="3" t="str">
        <f>HYPERLINK("https://12go.asia/en/travel/Central-Backpackers-Hostel-Phong-Nha/3-Thang-2-street", "12Go Link")</f>
        <v>12Go Link</v>
      </c>
      <c r="E6312" s="2" t="s">
        <v>5602</v>
      </c>
    </row>
    <row r="6313">
      <c r="A6313" s="2" t="s">
        <v>5611</v>
      </c>
      <c r="B6313" s="2" t="s">
        <v>5594</v>
      </c>
      <c r="C6313" s="2" t="s">
        <v>5784</v>
      </c>
      <c r="D6313" s="3" t="str">
        <f>HYPERLINK("https://12go.asia/en/travel/Central-Backpackers-Hostel-Phong-Nha/79-Nguyen-Tuong-Pho", "12Go Link")</f>
        <v>12Go Link</v>
      </c>
      <c r="E6313" s="2" t="s">
        <v>5615</v>
      </c>
    </row>
    <row r="6314">
      <c r="A6314" s="2" t="s">
        <v>5611</v>
      </c>
      <c r="B6314" s="2" t="s">
        <v>5594</v>
      </c>
      <c r="C6314" s="2" t="s">
        <v>5785</v>
      </c>
      <c r="D6314" s="3" t="str">
        <f>HYPERLINK("https://12go.asia/en/travel/Central-Backpackers-Hostel-Phong-Nha/Danang-To-Vietnam", "12Go Link")</f>
        <v>12Go Link</v>
      </c>
      <c r="E6314" s="2" t="s">
        <v>5602</v>
      </c>
    </row>
    <row r="6315">
      <c r="A6315" s="2" t="s">
        <v>5611</v>
      </c>
      <c r="B6315" s="2" t="s">
        <v>5594</v>
      </c>
      <c r="C6315" s="2" t="s">
        <v>5786</v>
      </c>
      <c r="D6315" s="3" t="str">
        <f>HYPERLINK("https://12go.asia/en/travel/Thien-Phu-Hostel/Da-Nang-Central-Bus-Station", "12Go Link")</f>
        <v>12Go Link</v>
      </c>
      <c r="E6315" s="2" t="s">
        <v>5602</v>
      </c>
    </row>
    <row r="6316">
      <c r="A6316" s="2" t="s">
        <v>5611</v>
      </c>
      <c r="B6316" s="2" t="s">
        <v>5594</v>
      </c>
      <c r="C6316" s="2" t="s">
        <v>5787</v>
      </c>
      <c r="D6316" s="3" t="str">
        <f>HYPERLINK("https://12go.asia/en/travel/TP-Booking-Office/Da-Nang-Bus-Station", "12Go Link")</f>
        <v>12Go Link</v>
      </c>
      <c r="E6316" s="2" t="s">
        <v>5619</v>
      </c>
    </row>
    <row r="6317">
      <c r="A6317" s="2" t="s">
        <v>5611</v>
      </c>
      <c r="B6317" s="2" t="s">
        <v>5597</v>
      </c>
      <c r="C6317" s="2" t="s">
        <v>5788</v>
      </c>
      <c r="D6317" s="3" t="str">
        <f>HYPERLINK("https://12go.asia/en/travel/Central-Backpackers-Hostel-Phong-Nha/200-Tran-Quang-Khai", "12Go Link")</f>
        <v>12Go Link</v>
      </c>
      <c r="E6317" s="2" t="s">
        <v>5602</v>
      </c>
    </row>
    <row r="6318">
      <c r="A6318" s="2" t="s">
        <v>5611</v>
      </c>
      <c r="B6318" s="2" t="s">
        <v>5597</v>
      </c>
      <c r="C6318" s="2" t="s">
        <v>5789</v>
      </c>
      <c r="D6318" s="3" t="str">
        <f>HYPERLINK("https://12go.asia/en/travel/Central-Backpackers-Hostel-Phong-Nha/208-Tran-Quang-Khai", "12Go Link")</f>
        <v>12Go Link</v>
      </c>
      <c r="E6318" s="2" t="s">
        <v>5602</v>
      </c>
    </row>
    <row r="6319">
      <c r="A6319" s="2" t="s">
        <v>5611</v>
      </c>
      <c r="B6319" s="2" t="s">
        <v>5638</v>
      </c>
      <c r="C6319" s="2" t="s">
        <v>5790</v>
      </c>
      <c r="D6319" s="3" t="str">
        <f t="shared" ref="D6319:D6320" si="1160">HYPERLINK("https://12go.asia/en/travel/Central-Backpackers-Hostel-Phong-Nha/105-Ton-Duc-Thang", "12Go Link")</f>
        <v>12Go Link</v>
      </c>
      <c r="E6319" s="2" t="s">
        <v>5602</v>
      </c>
    </row>
    <row r="6320">
      <c r="A6320" s="2" t="s">
        <v>5611</v>
      </c>
      <c r="B6320" s="2" t="s">
        <v>5638</v>
      </c>
      <c r="C6320" s="2" t="s">
        <v>5790</v>
      </c>
      <c r="D6320" s="3" t="str">
        <f t="shared" si="1160"/>
        <v>12Go Link</v>
      </c>
      <c r="E6320" s="2" t="s">
        <v>5615</v>
      </c>
    </row>
    <row r="6321">
      <c r="A6321" s="2" t="s">
        <v>5611</v>
      </c>
      <c r="B6321" s="2" t="s">
        <v>5638</v>
      </c>
      <c r="C6321" s="2" t="s">
        <v>5791</v>
      </c>
      <c r="D6321" s="3" t="str">
        <f>HYPERLINK("https://12go.asia/en/travel/Thien-Phu-Hostel/105-Ton-Duc-Thang", "12Go Link")</f>
        <v>12Go Link</v>
      </c>
      <c r="E6321" s="2" t="s">
        <v>5602</v>
      </c>
    </row>
    <row r="6322">
      <c r="A6322" s="2" t="s">
        <v>5611</v>
      </c>
      <c r="B6322" s="2" t="s">
        <v>5638</v>
      </c>
      <c r="C6322" s="2" t="s">
        <v>5792</v>
      </c>
      <c r="D6322" s="3" t="str">
        <f>HYPERLINK("https://12go.asia/en/travel/Thien-Phu-Hostel/487-Hai-Ba-Trung", "12Go Link")</f>
        <v>12Go Link</v>
      </c>
      <c r="E6322" s="2" t="s">
        <v>5793</v>
      </c>
    </row>
    <row r="6323">
      <c r="A6323" s="2" t="s">
        <v>5611</v>
      </c>
      <c r="B6323" s="2" t="s">
        <v>5638</v>
      </c>
      <c r="C6323" s="2" t="s">
        <v>5794</v>
      </c>
      <c r="D6323" s="3" t="str">
        <f>HYPERLINK("https://12go.asia/en/travel/TP-Booking-Office/497-Hai-Ba-Trung", "12Go Link")</f>
        <v>12Go Link</v>
      </c>
      <c r="E6323" s="2" t="s">
        <v>5619</v>
      </c>
    </row>
    <row r="6324">
      <c r="A6324" s="2" t="s">
        <v>5611</v>
      </c>
      <c r="B6324" s="2" t="s">
        <v>5604</v>
      </c>
      <c r="C6324" s="2" t="s">
        <v>5795</v>
      </c>
      <c r="D6324" s="3" t="str">
        <f>HYPERLINK("https://12go.asia/en/travel/Central-Backpackers-Hostel-Phong-Nha/7-Doi-Cung-Hue", "12Go Link")</f>
        <v>12Go Link</v>
      </c>
      <c r="E6324" s="2" t="s">
        <v>5602</v>
      </c>
    </row>
    <row r="6325">
      <c r="A6325" s="2" t="s">
        <v>5611</v>
      </c>
      <c r="B6325" s="2" t="s">
        <v>5604</v>
      </c>
      <c r="C6325" s="2" t="s">
        <v>5796</v>
      </c>
      <c r="D6325" s="3" t="str">
        <f>HYPERLINK("https://12go.asia/en/travel/Central-Backpackers-Hostel-Phong-Nha/Hue-Train-Station", "12Go Link")</f>
        <v>12Go Link</v>
      </c>
      <c r="E6325" s="2" t="s">
        <v>5615</v>
      </c>
    </row>
    <row r="6326">
      <c r="A6326" s="2" t="s">
        <v>5611</v>
      </c>
      <c r="B6326" s="2" t="s">
        <v>5604</v>
      </c>
      <c r="C6326" s="2" t="s">
        <v>5797</v>
      </c>
      <c r="D6326" s="3" t="str">
        <f>HYPERLINK("https://12go.asia/en/travel/Thien-Phu-Hostel/Nguyen-Hoang-Bus-Station", "12Go Link")</f>
        <v>12Go Link</v>
      </c>
      <c r="E6326" s="2" t="s">
        <v>5602</v>
      </c>
    </row>
    <row r="6327">
      <c r="A6327" s="2" t="s">
        <v>5611</v>
      </c>
      <c r="B6327" s="2" t="s">
        <v>5604</v>
      </c>
      <c r="C6327" s="2" t="s">
        <v>5798</v>
      </c>
      <c r="D6327" s="3" t="str">
        <f>HYPERLINK("https://12go.asia/en/travel/TP-Booking-Office/Hue-Railway-Station", "12Go Link")</f>
        <v>12Go Link</v>
      </c>
      <c r="E6327" s="2" t="s">
        <v>5619</v>
      </c>
    </row>
    <row r="6328">
      <c r="A6328" s="2" t="s">
        <v>5611</v>
      </c>
      <c r="B6328" s="2" t="s">
        <v>5607</v>
      </c>
      <c r="C6328" s="2" t="s">
        <v>5799</v>
      </c>
      <c r="D6328" s="3" t="str">
        <f>HYPERLINK("https://12go.asia/en/travel/Central-Backpackers-Hostel-Phong-Nha/46-July-27-Street", "12Go Link")</f>
        <v>12Go Link</v>
      </c>
      <c r="E6328" s="2" t="s">
        <v>5602</v>
      </c>
    </row>
    <row r="6329">
      <c r="A6329" s="2" t="s">
        <v>5611</v>
      </c>
      <c r="B6329" s="2" t="s">
        <v>5607</v>
      </c>
      <c r="C6329" s="2" t="s">
        <v>5800</v>
      </c>
      <c r="D6329" s="3" t="str">
        <f t="shared" ref="D6329:D6330" si="1161">HYPERLINK("https://12go.asia/en/travel/Central-Backpackers-Hostel-Phong-Nha/Dong-Gung-Bus-Station", "12Go Link")</f>
        <v>12Go Link</v>
      </c>
      <c r="E6329" s="2" t="s">
        <v>5599</v>
      </c>
    </row>
    <row r="6330">
      <c r="A6330" s="2" t="s">
        <v>5611</v>
      </c>
      <c r="B6330" s="2" t="s">
        <v>5607</v>
      </c>
      <c r="C6330" s="2" t="s">
        <v>5800</v>
      </c>
      <c r="D6330" s="3" t="str">
        <f t="shared" si="1161"/>
        <v>12Go Link</v>
      </c>
      <c r="E6330" s="2" t="s">
        <v>5600</v>
      </c>
    </row>
    <row r="6331">
      <c r="A6331" s="2" t="s">
        <v>5611</v>
      </c>
      <c r="B6331" s="2" t="s">
        <v>5607</v>
      </c>
      <c r="C6331" s="2" t="s">
        <v>5801</v>
      </c>
      <c r="D6331" s="3" t="str">
        <f>HYPERLINK("https://12go.asia/en/travel/Central-Backpackers-Hostel-Phong-Nha/Seven-Coffee", "12Go Link")</f>
        <v>12Go Link</v>
      </c>
      <c r="E6331" s="2" t="s">
        <v>5602</v>
      </c>
    </row>
    <row r="6332">
      <c r="A6332" s="2" t="s">
        <v>5611</v>
      </c>
      <c r="B6332" s="2" t="s">
        <v>5655</v>
      </c>
      <c r="C6332" s="2" t="s">
        <v>5802</v>
      </c>
      <c r="D6332" s="3" t="str">
        <f t="shared" ref="D6332:D6333" si="1162">HYPERLINK("https://12go.asia/en/travel/Central-Backpackers-Hostel-Phong-Nha/Tung-Luxury-Hotel-Ha-Long", "12Go Link")</f>
        <v>12Go Link</v>
      </c>
      <c r="E6332" s="2" t="s">
        <v>5599</v>
      </c>
    </row>
    <row r="6333">
      <c r="A6333" s="2" t="s">
        <v>5611</v>
      </c>
      <c r="B6333" s="2" t="s">
        <v>5655</v>
      </c>
      <c r="C6333" s="2" t="s">
        <v>5802</v>
      </c>
      <c r="D6333" s="3" t="str">
        <f t="shared" si="1162"/>
        <v>12Go Link</v>
      </c>
      <c r="E6333" s="2" t="s">
        <v>5600</v>
      </c>
    </row>
    <row r="6334">
      <c r="A6334" s="2" t="s">
        <v>5611</v>
      </c>
      <c r="B6334" s="2" t="s">
        <v>5620</v>
      </c>
      <c r="C6334" s="2" t="s">
        <v>5803</v>
      </c>
      <c r="D6334" s="3" t="str">
        <f>HYPERLINK("https://12go.asia/en/travel/Central-Backpackers-Hostel-Phong-Nha/187-Le-Duan", "12Go Link")</f>
        <v>12Go Link</v>
      </c>
      <c r="E6334" s="2" t="s">
        <v>5615</v>
      </c>
    </row>
    <row r="6335">
      <c r="A6335" s="2" t="s">
        <v>5804</v>
      </c>
      <c r="B6335" s="2" t="s">
        <v>5805</v>
      </c>
      <c r="C6335" s="2" t="s">
        <v>5806</v>
      </c>
      <c r="D6335" s="3" t="str">
        <f>HYPERLINK("https://12go.asia/en/travel/viet-tri/vinh-yen", "12Go Link")</f>
        <v>12Go Link</v>
      </c>
      <c r="E6335" s="2" t="s">
        <v>77</v>
      </c>
    </row>
    <row r="6336">
      <c r="A6336" s="2" t="s">
        <v>5582</v>
      </c>
      <c r="B6336" s="2" t="s">
        <v>5759</v>
      </c>
      <c r="C6336" s="2" t="s">
        <v>5807</v>
      </c>
      <c r="D6336" s="3" t="str">
        <f>HYPERLINK("https://12go.asia/en/travel/tuy-hoa/vinh", "12Go Link")</f>
        <v>12Go Link</v>
      </c>
      <c r="E6336" s="2" t="s">
        <v>77</v>
      </c>
    </row>
    <row r="6337">
      <c r="A6337" s="2" t="s">
        <v>5617</v>
      </c>
      <c r="B6337" s="2" t="s">
        <v>5594</v>
      </c>
      <c r="C6337" s="2" t="s">
        <v>5808</v>
      </c>
      <c r="D6337" s="3" t="str">
        <f>HYPERLINK("https://12go.asia/en/travel/Dong-Hoi/Da-Nang-Bus-Station", "12Go Link")</f>
        <v>12Go Link</v>
      </c>
      <c r="E6337" s="2" t="s">
        <v>5619</v>
      </c>
    </row>
    <row r="6338">
      <c r="A6338" s="2" t="s">
        <v>5617</v>
      </c>
      <c r="B6338" s="2" t="s">
        <v>5809</v>
      </c>
      <c r="C6338" s="2" t="s">
        <v>5810</v>
      </c>
      <c r="D6338" s="3" t="str">
        <f>HYPERLINK("https://12go.asia/en/travel/minh-le/yen-trung", "12Go Link")</f>
        <v>12Go Link</v>
      </c>
      <c r="E6338" s="2" t="s">
        <v>77</v>
      </c>
    </row>
    <row r="6339">
      <c r="A6339" s="2" t="s">
        <v>5617</v>
      </c>
      <c r="B6339" s="2" t="s">
        <v>5638</v>
      </c>
      <c r="C6339" s="2" t="s">
        <v>5811</v>
      </c>
      <c r="D6339" s="3" t="str">
        <f>HYPERLINK("https://12go.asia/en/travel/Dong-Hoi/497-Hai-Ba-Trung", "12Go Link")</f>
        <v>12Go Link</v>
      </c>
      <c r="E6339" s="2" t="s">
        <v>5619</v>
      </c>
    </row>
    <row r="6340">
      <c r="A6340" s="2" t="s">
        <v>5617</v>
      </c>
      <c r="B6340" s="2" t="s">
        <v>5604</v>
      </c>
      <c r="C6340" s="2" t="s">
        <v>5812</v>
      </c>
      <c r="D6340" s="3" t="str">
        <f>HYPERLINK("https://12go.asia/en/travel/Dong-Hoi/Hue-Railway-Station", "12Go Link")</f>
        <v>12Go Link</v>
      </c>
      <c r="E6340" s="2" t="s">
        <v>5619</v>
      </c>
    </row>
    <row r="6341">
      <c r="A6341" s="2" t="s">
        <v>5738</v>
      </c>
      <c r="B6341" s="2" t="s">
        <v>5604</v>
      </c>
      <c r="C6341" s="2" t="s">
        <v>5813</v>
      </c>
      <c r="D6341" s="3" t="str">
        <f>HYPERLINK("https://12go.asia/en/travel/Hoi-An-Water-Puppet-Show/38-Le-Loi", "12Go Link")</f>
        <v>12Go Link</v>
      </c>
      <c r="E6341" s="2" t="s">
        <v>5740</v>
      </c>
    </row>
    <row r="6342">
      <c r="A6342" s="2" t="s">
        <v>5814</v>
      </c>
      <c r="B6342" s="2" t="s">
        <v>5815</v>
      </c>
      <c r="C6342" s="2" t="s">
        <v>5816</v>
      </c>
      <c r="D6342" s="3" t="str">
        <f>HYPERLINK("https://12go.asia/en/travel/duc-pho/tam-ky", "12Go Link")</f>
        <v>12Go Link</v>
      </c>
      <c r="E6342" s="2" t="s">
        <v>77</v>
      </c>
    </row>
    <row r="6343">
      <c r="A6343" s="2" t="s">
        <v>5655</v>
      </c>
      <c r="B6343" s="2" t="s">
        <v>5594</v>
      </c>
      <c r="C6343" s="2" t="s">
        <v>5817</v>
      </c>
      <c r="D6343" s="3" t="str">
        <f>HYPERLINK("https://12go.asia/en/travel/Ha-Long-Happy-Travel-Tuan-Chau/90-Hoang-Thi-Loan", "12Go Link")</f>
        <v>12Go Link</v>
      </c>
      <c r="E6343" s="2" t="s">
        <v>5818</v>
      </c>
    </row>
    <row r="6344">
      <c r="A6344" s="2" t="s">
        <v>5655</v>
      </c>
      <c r="B6344" s="2" t="s">
        <v>5629</v>
      </c>
      <c r="C6344" s="2" t="s">
        <v>5819</v>
      </c>
      <c r="D6344" s="3" t="str">
        <f>HYPERLINK("https://12go.asia/en/travel/Ha-Long-Happy-Travel-Tuan-Chau/122-Ha-Huy-Tap", "12Go Link")</f>
        <v>12Go Link</v>
      </c>
      <c r="E6344" s="2" t="s">
        <v>5818</v>
      </c>
    </row>
    <row r="6345">
      <c r="A6345" s="2" t="s">
        <v>5655</v>
      </c>
      <c r="B6345" s="2" t="s">
        <v>5597</v>
      </c>
      <c r="C6345" s="2" t="s">
        <v>5820</v>
      </c>
      <c r="D6345" s="3" t="str">
        <f t="shared" ref="D6345:D6346" si="1163">HYPERLINK("https://12go.asia/en/travel/239-Nguyen-Van-Cu-Ha-Long/Hanoi-Opera-House", "12Go Link")</f>
        <v>12Go Link</v>
      </c>
      <c r="E6345" s="2" t="s">
        <v>5672</v>
      </c>
    </row>
    <row r="6346">
      <c r="A6346" s="2" t="s">
        <v>5655</v>
      </c>
      <c r="B6346" s="2" t="s">
        <v>5597</v>
      </c>
      <c r="C6346" s="2" t="s">
        <v>5820</v>
      </c>
      <c r="D6346" s="3" t="str">
        <f t="shared" si="1163"/>
        <v>12Go Link</v>
      </c>
      <c r="E6346" s="2" t="s">
        <v>5673</v>
      </c>
    </row>
    <row r="6347">
      <c r="A6347" s="2" t="s">
        <v>5655</v>
      </c>
      <c r="B6347" s="2" t="s">
        <v>5597</v>
      </c>
      <c r="C6347" s="2" t="s">
        <v>5821</v>
      </c>
      <c r="D6347" s="3" t="str">
        <f t="shared" ref="D6347:D6348" si="1164">HYPERLINK("https://12go.asia/en/travel/239-Nguyen-Van-Cu-Ha-Long/Hanoi-Phuc-Xuyen-Office", "12Go Link")</f>
        <v>12Go Link</v>
      </c>
      <c r="E6347" s="2" t="s">
        <v>5672</v>
      </c>
    </row>
    <row r="6348">
      <c r="A6348" s="2" t="s">
        <v>5655</v>
      </c>
      <c r="B6348" s="2" t="s">
        <v>5597</v>
      </c>
      <c r="C6348" s="2" t="s">
        <v>5821</v>
      </c>
      <c r="D6348" s="3" t="str">
        <f t="shared" si="1164"/>
        <v>12Go Link</v>
      </c>
      <c r="E6348" s="2" t="s">
        <v>5673</v>
      </c>
    </row>
    <row r="6349">
      <c r="A6349" s="2" t="s">
        <v>5655</v>
      </c>
      <c r="B6349" s="2" t="s">
        <v>5597</v>
      </c>
      <c r="C6349" s="2" t="s">
        <v>5822</v>
      </c>
      <c r="D6349" s="3" t="str">
        <f t="shared" ref="D6349:D6350" si="1165">HYPERLINK("https://12go.asia/en/travel/Bai-Chay-Bus-Station/Hanoi-Opera-House", "12Go Link")</f>
        <v>12Go Link</v>
      </c>
      <c r="E6349" s="2" t="s">
        <v>5672</v>
      </c>
    </row>
    <row r="6350">
      <c r="A6350" s="2" t="s">
        <v>5655</v>
      </c>
      <c r="B6350" s="2" t="s">
        <v>5597</v>
      </c>
      <c r="C6350" s="2" t="s">
        <v>5822</v>
      </c>
      <c r="D6350" s="3" t="str">
        <f t="shared" si="1165"/>
        <v>12Go Link</v>
      </c>
      <c r="E6350" s="2" t="s">
        <v>5673</v>
      </c>
    </row>
    <row r="6351">
      <c r="A6351" s="2" t="s">
        <v>5655</v>
      </c>
      <c r="B6351" s="2" t="s">
        <v>5597</v>
      </c>
      <c r="C6351" s="2" t="s">
        <v>5823</v>
      </c>
      <c r="D6351" s="3" t="str">
        <f t="shared" ref="D6351:D6352" si="1166">HYPERLINK("https://12go.asia/en/travel/Bai-Chay-Bus-Station/Hanoi-Phuc-Xuyen-Office", "12Go Link")</f>
        <v>12Go Link</v>
      </c>
      <c r="E6351" s="2" t="s">
        <v>5672</v>
      </c>
    </row>
    <row r="6352">
      <c r="A6352" s="2" t="s">
        <v>5655</v>
      </c>
      <c r="B6352" s="2" t="s">
        <v>5597</v>
      </c>
      <c r="C6352" s="2" t="s">
        <v>5823</v>
      </c>
      <c r="D6352" s="3" t="str">
        <f t="shared" si="1166"/>
        <v>12Go Link</v>
      </c>
      <c r="E6352" s="2" t="s">
        <v>5673</v>
      </c>
    </row>
    <row r="6353">
      <c r="A6353" s="2" t="s">
        <v>5655</v>
      </c>
      <c r="B6353" s="2" t="s">
        <v>5635</v>
      </c>
      <c r="C6353" s="2" t="s">
        <v>5824</v>
      </c>
      <c r="D6353" s="3" t="str">
        <f>HYPERLINK("https://12go.asia/en/travel/Ha-Long-Happy-Travel-Tuan-Chau/Little-Mai-Chau-Homestay", "12Go Link")</f>
        <v>12Go Link</v>
      </c>
      <c r="E6353" s="2" t="s">
        <v>5825</v>
      </c>
    </row>
    <row r="6354">
      <c r="A6354" s="2" t="s">
        <v>5655</v>
      </c>
      <c r="B6354" s="2" t="s">
        <v>5638</v>
      </c>
      <c r="C6354" s="2" t="s">
        <v>5826</v>
      </c>
      <c r="D6354" s="3" t="str">
        <f>HYPERLINK("https://12go.asia/en/travel/Ha-Long-Happy-Travel-Tuan-Chau/Pool-Side-Villa", "12Go Link")</f>
        <v>12Go Link</v>
      </c>
      <c r="E6354" s="2" t="s">
        <v>5818</v>
      </c>
    </row>
    <row r="6355">
      <c r="A6355" s="2" t="s">
        <v>5655</v>
      </c>
      <c r="B6355" s="2" t="s">
        <v>5604</v>
      </c>
      <c r="C6355" s="2" t="s">
        <v>5827</v>
      </c>
      <c r="D6355" s="3" t="str">
        <f>HYPERLINK("https://12go.asia/en/travel/Ha-Long-Happy-Travel-Tuan-Chau/26-Nguyen-Hue", "12Go Link")</f>
        <v>12Go Link</v>
      </c>
      <c r="E6355" s="2" t="s">
        <v>5818</v>
      </c>
    </row>
    <row r="6356">
      <c r="A6356" s="2" t="s">
        <v>5655</v>
      </c>
      <c r="B6356" s="2" t="s">
        <v>5666</v>
      </c>
      <c r="C6356" s="2" t="s">
        <v>5828</v>
      </c>
      <c r="D6356" s="3" t="str">
        <f>HYPERLINK("https://12go.asia/en/travel/239-Nguyen-Van-Cu-Ha-Long/80-Phan-Dinh-Phung", "12Go Link")</f>
        <v>12Go Link</v>
      </c>
      <c r="E6356" s="2" t="s">
        <v>5745</v>
      </c>
    </row>
    <row r="6357">
      <c r="A6357" s="2" t="s">
        <v>5655</v>
      </c>
      <c r="B6357" s="2" t="s">
        <v>5666</v>
      </c>
      <c r="C6357" s="2" t="s">
        <v>5829</v>
      </c>
      <c r="D6357" s="3" t="str">
        <f>HYPERLINK("https://12go.asia/en/travel/239-Nguyen-Van-Cu-Ha-Long/Bac-Ha-Bus-Station", "12Go Link")</f>
        <v>12Go Link</v>
      </c>
      <c r="E6357" s="2" t="s">
        <v>5745</v>
      </c>
    </row>
    <row r="6358">
      <c r="A6358" s="2" t="s">
        <v>5655</v>
      </c>
      <c r="B6358" s="2" t="s">
        <v>5666</v>
      </c>
      <c r="C6358" s="2" t="s">
        <v>5830</v>
      </c>
      <c r="D6358" s="3" t="str">
        <f>HYPERLINK("https://12go.asia/en/travel/Bai-Chay-Bus-Station/80-Phan-Dinh-Phung", "12Go Link")</f>
        <v>12Go Link</v>
      </c>
      <c r="E6358" s="2" t="s">
        <v>5745</v>
      </c>
    </row>
    <row r="6359">
      <c r="A6359" s="2" t="s">
        <v>5655</v>
      </c>
      <c r="B6359" s="2" t="s">
        <v>5666</v>
      </c>
      <c r="C6359" s="2" t="s">
        <v>5831</v>
      </c>
      <c r="D6359" s="3" t="str">
        <f>HYPERLINK("https://12go.asia/en/travel/Bai-Chay-Bus-Station/Bac-Ha-Bus-Station", "12Go Link")</f>
        <v>12Go Link</v>
      </c>
      <c r="E6359" s="2" t="s">
        <v>5745</v>
      </c>
    </row>
    <row r="6360">
      <c r="A6360" s="2" t="s">
        <v>5655</v>
      </c>
      <c r="B6360" s="2" t="s">
        <v>5666</v>
      </c>
      <c r="C6360" s="2" t="s">
        <v>5832</v>
      </c>
      <c r="D6360" s="3" t="str">
        <f>HYPERLINK("https://12go.asia/en/travel/Cai-Rong-Bus-Station/80-Phan-Dinh-Phung", "12Go Link")</f>
        <v>12Go Link</v>
      </c>
      <c r="E6360" s="2" t="s">
        <v>5745</v>
      </c>
    </row>
    <row r="6361">
      <c r="A6361" s="2" t="s">
        <v>5655</v>
      </c>
      <c r="B6361" s="2" t="s">
        <v>5666</v>
      </c>
      <c r="C6361" s="2" t="s">
        <v>5833</v>
      </c>
      <c r="D6361" s="3" t="str">
        <f>HYPERLINK("https://12go.asia/en/travel/Cai-Rong-Bus-Station/Bac-Ha-Bus-Station", "12Go Link")</f>
        <v>12Go Link</v>
      </c>
      <c r="E6361" s="2" t="s">
        <v>5745</v>
      </c>
    </row>
    <row r="6362">
      <c r="A6362" s="2" t="s">
        <v>5655</v>
      </c>
      <c r="B6362" s="2" t="s">
        <v>5666</v>
      </c>
      <c r="C6362" s="2" t="s">
        <v>5834</v>
      </c>
      <c r="D6362" s="3" t="str">
        <f>HYPERLINK("https://12go.asia/en/travel/Ha-Long-Railway-Station/80-Phan-Dinh-Phung", "12Go Link")</f>
        <v>12Go Link</v>
      </c>
      <c r="E6362" s="2" t="s">
        <v>5745</v>
      </c>
    </row>
    <row r="6363">
      <c r="A6363" s="2" t="s">
        <v>5655</v>
      </c>
      <c r="B6363" s="2" t="s">
        <v>5666</v>
      </c>
      <c r="C6363" s="2" t="s">
        <v>5835</v>
      </c>
      <c r="D6363" s="3" t="str">
        <f>HYPERLINK("https://12go.asia/en/travel/Ha-Long-Railway-Station/Bac-Ha-Bus-Station", "12Go Link")</f>
        <v>12Go Link</v>
      </c>
      <c r="E6363" s="2" t="s">
        <v>5745</v>
      </c>
    </row>
    <row r="6364">
      <c r="A6364" s="2" t="s">
        <v>5655</v>
      </c>
      <c r="B6364" s="2" t="s">
        <v>5607</v>
      </c>
      <c r="C6364" s="2" t="s">
        <v>5836</v>
      </c>
      <c r="D6364" s="3" t="str">
        <f t="shared" ref="D6364:D6365" si="1167">HYPERLINK("https://12go.asia/en/travel/Aqua-Of-The-Seas-Cruise/Tam-Coc-Boat-Station", "12Go Link")</f>
        <v>12Go Link</v>
      </c>
      <c r="E6364" s="2" t="s">
        <v>5637</v>
      </c>
    </row>
    <row r="6365">
      <c r="A6365" s="2" t="s">
        <v>5655</v>
      </c>
      <c r="B6365" s="2" t="s">
        <v>5607</v>
      </c>
      <c r="C6365" s="2" t="s">
        <v>5836</v>
      </c>
      <c r="D6365" s="3" t="str">
        <f t="shared" si="1167"/>
        <v>12Go Link</v>
      </c>
      <c r="E6365" s="2" t="s">
        <v>5634</v>
      </c>
    </row>
    <row r="6366">
      <c r="A6366" s="2" t="s">
        <v>5655</v>
      </c>
      <c r="B6366" s="2" t="s">
        <v>5743</v>
      </c>
      <c r="C6366" s="2" t="s">
        <v>5837</v>
      </c>
      <c r="D6366" s="3" t="str">
        <f t="shared" ref="D6366:D6367" si="1168">HYPERLINK("https://12go.asia/en/travel/239-Nguyen-Van-Cu-Ha-Long/Hanoi-Airport", "12Go Link")</f>
        <v>12Go Link</v>
      </c>
      <c r="E6366" s="2" t="s">
        <v>5781</v>
      </c>
    </row>
    <row r="6367">
      <c r="A6367" s="2" t="s">
        <v>5655</v>
      </c>
      <c r="B6367" s="2" t="s">
        <v>5743</v>
      </c>
      <c r="C6367" s="2" t="s">
        <v>5837</v>
      </c>
      <c r="D6367" s="3" t="str">
        <f t="shared" si="1168"/>
        <v>12Go Link</v>
      </c>
      <c r="E6367" s="2" t="s">
        <v>5745</v>
      </c>
    </row>
    <row r="6368">
      <c r="A6368" s="2" t="s">
        <v>5655</v>
      </c>
      <c r="B6368" s="2" t="s">
        <v>5743</v>
      </c>
      <c r="C6368" s="2" t="s">
        <v>5838</v>
      </c>
      <c r="D6368" s="3" t="str">
        <f>HYPERLINK("https://12go.asia/en/travel/Bai-Chay-Bus-Station/Hanoi-Airport", "12Go Link")</f>
        <v>12Go Link</v>
      </c>
      <c r="E6368" s="2" t="s">
        <v>5745</v>
      </c>
    </row>
    <row r="6369">
      <c r="A6369" s="2" t="s">
        <v>5655</v>
      </c>
      <c r="B6369" s="2" t="s">
        <v>5743</v>
      </c>
      <c r="C6369" s="2" t="s">
        <v>5839</v>
      </c>
      <c r="D6369" s="3" t="str">
        <f>HYPERLINK("https://12go.asia/en/travel/Cai-Rong-Bus-Station/Hanoi-Airport", "12Go Link")</f>
        <v>12Go Link</v>
      </c>
      <c r="E6369" s="2" t="s">
        <v>5745</v>
      </c>
    </row>
    <row r="6370">
      <c r="A6370" s="2" t="s">
        <v>5655</v>
      </c>
      <c r="B6370" s="2" t="s">
        <v>5743</v>
      </c>
      <c r="C6370" s="2" t="s">
        <v>5840</v>
      </c>
      <c r="D6370" s="3" t="str">
        <f>HYPERLINK("https://12go.asia/en/travel/Ha-Long-Railway-Station/Hanoi-Airport", "12Go Link")</f>
        <v>12Go Link</v>
      </c>
      <c r="E6370" s="2" t="s">
        <v>5745</v>
      </c>
    </row>
    <row r="6371">
      <c r="A6371" s="2" t="s">
        <v>5655</v>
      </c>
      <c r="B6371" s="2" t="s">
        <v>5611</v>
      </c>
      <c r="C6371" s="2" t="s">
        <v>5841</v>
      </c>
      <c r="D6371" s="3" t="str">
        <f>HYPERLINK("https://12go.asia/en/travel/Ha-Long-Happy-Travel-Tuan-Chau/Phong-Nha-Midtown-Hotel", "12Go Link")</f>
        <v>12Go Link</v>
      </c>
      <c r="E6371" s="2" t="s">
        <v>5818</v>
      </c>
    </row>
    <row r="6372">
      <c r="A6372" s="2" t="s">
        <v>5655</v>
      </c>
      <c r="B6372" s="2" t="s">
        <v>5643</v>
      </c>
      <c r="C6372" s="2" t="s">
        <v>5842</v>
      </c>
      <c r="D6372" s="3" t="str">
        <f>HYPERLINK("https://12go.asia/en/travel/239-Nguyen-Van-Cu-Ha-Long/Sapa-Bus-Station", "12Go Link")</f>
        <v>12Go Link</v>
      </c>
      <c r="E6372" s="2" t="s">
        <v>5745</v>
      </c>
    </row>
    <row r="6373">
      <c r="A6373" s="2" t="s">
        <v>5655</v>
      </c>
      <c r="B6373" s="2" t="s">
        <v>5643</v>
      </c>
      <c r="C6373" s="2" t="s">
        <v>5843</v>
      </c>
      <c r="D6373" s="3" t="str">
        <f>HYPERLINK("https://12go.asia/en/travel/Bai-Chay-Bus-Station/Sapa-Bus-Station", "12Go Link")</f>
        <v>12Go Link</v>
      </c>
      <c r="E6373" s="2" t="s">
        <v>5745</v>
      </c>
    </row>
    <row r="6374">
      <c r="A6374" s="2" t="s">
        <v>5655</v>
      </c>
      <c r="B6374" s="2" t="s">
        <v>5643</v>
      </c>
      <c r="C6374" s="2" t="s">
        <v>5844</v>
      </c>
      <c r="D6374" s="3" t="str">
        <f>HYPERLINK("https://12go.asia/en/travel/Cai-Rong-Bus-Station/Sapa-Bus-Station", "12Go Link")</f>
        <v>12Go Link</v>
      </c>
      <c r="E6374" s="2" t="s">
        <v>5745</v>
      </c>
    </row>
    <row r="6375">
      <c r="A6375" s="2" t="s">
        <v>5655</v>
      </c>
      <c r="B6375" s="2" t="s">
        <v>5643</v>
      </c>
      <c r="C6375" s="2" t="s">
        <v>5845</v>
      </c>
      <c r="D6375" s="3" t="str">
        <f>HYPERLINK("https://12go.asia/en/travel/Ha-Long-Railway-Station/Sapa-Bus-Station", "12Go Link")</f>
        <v>12Go Link</v>
      </c>
      <c r="E6375" s="2" t="s">
        <v>5745</v>
      </c>
    </row>
    <row r="6376">
      <c r="A6376" s="2" t="s">
        <v>5655</v>
      </c>
      <c r="B6376" s="2" t="s">
        <v>5645</v>
      </c>
      <c r="C6376" s="2" t="s">
        <v>5846</v>
      </c>
      <c r="D6376" s="3" t="str">
        <f>HYPERLINK("https://12go.asia/en/travel/Ha-Long-Happy-Travel-Tuan-Chau/Pu-Luong-Homestay", "12Go Link")</f>
        <v>12Go Link</v>
      </c>
      <c r="E6376" s="2" t="s">
        <v>5825</v>
      </c>
    </row>
    <row r="6377">
      <c r="A6377" s="2" t="s">
        <v>5643</v>
      </c>
      <c r="B6377" s="2" t="s">
        <v>5631</v>
      </c>
      <c r="C6377" s="2" t="s">
        <v>5847</v>
      </c>
      <c r="D6377" s="3" t="str">
        <f>HYPERLINK("https://12go.asia/en/travel/599-Dien-Bien-Phu/100-Tran-Phu-Ha-Giang", "12Go Link")</f>
        <v>12Go Link</v>
      </c>
      <c r="E6377" s="2" t="s">
        <v>5781</v>
      </c>
    </row>
    <row r="6378">
      <c r="A6378" s="2" t="s">
        <v>5643</v>
      </c>
      <c r="B6378" s="2" t="s">
        <v>5743</v>
      </c>
      <c r="C6378" s="2" t="s">
        <v>5848</v>
      </c>
      <c r="D6378" s="3" t="str">
        <f>HYPERLINK("https://12go.asia/en/travel/Sapa-Bus-Station/Hanoi-Airport", "12Go Link")</f>
        <v>12Go Link</v>
      </c>
      <c r="E6378" s="2" t="s">
        <v>5745</v>
      </c>
    </row>
    <row r="6379">
      <c r="A6379" s="2" t="s">
        <v>5643</v>
      </c>
      <c r="B6379" s="2" t="s">
        <v>5655</v>
      </c>
      <c r="C6379" s="2" t="s">
        <v>5849</v>
      </c>
      <c r="D6379" s="3" t="str">
        <f>HYPERLINK("https://12go.asia/en/travel/Sapa-Bus-Station/239-Nguyen-Van-Cu-Ha-Long", "12Go Link")</f>
        <v>12Go Link</v>
      </c>
      <c r="E6379" s="2" t="s">
        <v>5745</v>
      </c>
    </row>
    <row r="6380">
      <c r="A6380" s="2" t="s">
        <v>5643</v>
      </c>
      <c r="B6380" s="2" t="s">
        <v>5655</v>
      </c>
      <c r="C6380" s="2" t="s">
        <v>5850</v>
      </c>
      <c r="D6380" s="3" t="str">
        <f>HYPERLINK("https://12go.asia/en/travel/Sapa-Bus-Station/Bai-Chay-Bus-Station", "12Go Link")</f>
        <v>12Go Link</v>
      </c>
      <c r="E6380" s="2" t="s">
        <v>5745</v>
      </c>
    </row>
    <row r="6381">
      <c r="A6381" s="2" t="s">
        <v>5643</v>
      </c>
      <c r="B6381" s="2" t="s">
        <v>5655</v>
      </c>
      <c r="C6381" s="2" t="s">
        <v>5851</v>
      </c>
      <c r="D6381" s="3" t="str">
        <f>HYPERLINK("https://12go.asia/en/travel/Sapa-Bus-Station/Cai-Rong-Bus-Station", "12Go Link")</f>
        <v>12Go Link</v>
      </c>
      <c r="E6381" s="2" t="s">
        <v>5745</v>
      </c>
    </row>
    <row r="6382">
      <c r="A6382" s="2" t="s">
        <v>5760</v>
      </c>
      <c r="B6382" s="2" t="s">
        <v>5622</v>
      </c>
      <c r="C6382" s="2" t="s">
        <v>5852</v>
      </c>
      <c r="D6382" s="3" t="str">
        <f>HYPERLINK("https://12go.asia/en/travel/The-Long-Restaurant/243-Nui-Ngoc", "12Go Link")</f>
        <v>12Go Link</v>
      </c>
      <c r="E6382" s="2" t="s">
        <v>5637</v>
      </c>
    </row>
    <row r="6383">
      <c r="A6383" s="2" t="s">
        <v>5760</v>
      </c>
      <c r="B6383" s="2" t="s">
        <v>5635</v>
      </c>
      <c r="C6383" s="2" t="s">
        <v>5853</v>
      </c>
      <c r="D6383" s="3" t="str">
        <f>HYPERLINK("https://12go.asia/en/travel/The-Long-Restaurant/Little-Mai-Chau-Homestay", "12Go Link")</f>
        <v>12Go Link</v>
      </c>
      <c r="E6383" s="2" t="s">
        <v>5687</v>
      </c>
    </row>
    <row r="6384">
      <c r="A6384" s="2" t="s">
        <v>5760</v>
      </c>
      <c r="B6384" s="2" t="s">
        <v>5655</v>
      </c>
      <c r="C6384" s="2" t="s">
        <v>5854</v>
      </c>
      <c r="D6384" s="3" t="str">
        <f t="shared" ref="D6384:D6385" si="1169">HYPERLINK("https://12go.asia/en/travel/The-Long-Restaurant/Aqua-Of-The-Seas-Cruise", "12Go Link")</f>
        <v>12Go Link</v>
      </c>
      <c r="E6384" s="2" t="s">
        <v>5637</v>
      </c>
    </row>
    <row r="6385">
      <c r="A6385" s="2" t="s">
        <v>5760</v>
      </c>
      <c r="B6385" s="2" t="s">
        <v>5655</v>
      </c>
      <c r="C6385" s="2" t="s">
        <v>5854</v>
      </c>
      <c r="D6385" s="3" t="str">
        <f t="shared" si="1169"/>
        <v>12Go Link</v>
      </c>
      <c r="E6385" s="2" t="s">
        <v>5634</v>
      </c>
    </row>
    <row r="6386">
      <c r="A6386" s="2" t="s">
        <v>5760</v>
      </c>
      <c r="B6386" s="2" t="s">
        <v>5645</v>
      </c>
      <c r="C6386" s="2" t="s">
        <v>5855</v>
      </c>
      <c r="D6386" s="3" t="str">
        <f t="shared" ref="D6386:D6387" si="1170">HYPERLINK("https://12go.asia/en/travel/The-Long-Restaurant/Pu-Luong-Homestay", "12Go Link")</f>
        <v>12Go Link</v>
      </c>
      <c r="E6386" s="2" t="s">
        <v>5637</v>
      </c>
    </row>
    <row r="6387">
      <c r="A6387" s="2" t="s">
        <v>5760</v>
      </c>
      <c r="B6387" s="2" t="s">
        <v>5645</v>
      </c>
      <c r="C6387" s="2" t="s">
        <v>5855</v>
      </c>
      <c r="D6387" s="3" t="str">
        <f t="shared" si="1170"/>
        <v>12Go Link</v>
      </c>
      <c r="E6387" s="2" t="s">
        <v>5856</v>
      </c>
    </row>
    <row r="6388">
      <c r="A6388" s="2" t="s">
        <v>5815</v>
      </c>
      <c r="B6388" s="2" t="s">
        <v>5617</v>
      </c>
      <c r="C6388" s="2" t="s">
        <v>5857</v>
      </c>
      <c r="D6388" s="3" t="str">
        <f>HYPERLINK("https://12go.asia/en/travel/tam-ky/minh-le", "12Go Link")</f>
        <v>12Go Link</v>
      </c>
      <c r="E6388" s="2" t="s">
        <v>77</v>
      </c>
    </row>
    <row r="6389">
      <c r="A6389" s="2" t="s">
        <v>5645</v>
      </c>
      <c r="B6389" s="2" t="s">
        <v>5594</v>
      </c>
      <c r="C6389" s="2" t="s">
        <v>5858</v>
      </c>
      <c r="D6389" s="3" t="str">
        <f>HYPERLINK("https://12go.asia/en/travel/Pu-Luong-Homestay/90-Hoang-Thi-Loan", "12Go Link")</f>
        <v>12Go Link</v>
      </c>
      <c r="E6389" s="2" t="s">
        <v>5818</v>
      </c>
    </row>
    <row r="6390">
      <c r="A6390" s="2" t="s">
        <v>5645</v>
      </c>
      <c r="B6390" s="2" t="s">
        <v>5629</v>
      </c>
      <c r="C6390" s="2" t="s">
        <v>5859</v>
      </c>
      <c r="D6390" s="3" t="str">
        <f>HYPERLINK("https://12go.asia/en/travel/Pu-Luong-Homestay/122-Ha-Huy-Tap", "12Go Link")</f>
        <v>12Go Link</v>
      </c>
      <c r="E6390" s="2" t="s">
        <v>5818</v>
      </c>
    </row>
    <row r="6391">
      <c r="A6391" s="2" t="s">
        <v>5645</v>
      </c>
      <c r="B6391" s="2" t="s">
        <v>5638</v>
      </c>
      <c r="C6391" s="2" t="s">
        <v>5860</v>
      </c>
      <c r="D6391" s="3" t="str">
        <f>HYPERLINK("https://12go.asia/en/travel/Pu-Luong-Homestay/Pool-Side-Villa", "12Go Link")</f>
        <v>12Go Link</v>
      </c>
      <c r="E6391" s="2" t="s">
        <v>5818</v>
      </c>
    </row>
    <row r="6392">
      <c r="A6392" s="2" t="s">
        <v>5645</v>
      </c>
      <c r="B6392" s="2" t="s">
        <v>5604</v>
      </c>
      <c r="C6392" s="2" t="s">
        <v>5861</v>
      </c>
      <c r="D6392" s="3" t="str">
        <f>HYPERLINK("https://12go.asia/en/travel/Pu-Luong-Homestay/26-Nguyen-Hue", "12Go Link")</f>
        <v>12Go Link</v>
      </c>
      <c r="E6392" s="2" t="s">
        <v>5818</v>
      </c>
    </row>
    <row r="6393">
      <c r="A6393" s="2" t="s">
        <v>5645</v>
      </c>
      <c r="B6393" s="2" t="s">
        <v>5607</v>
      </c>
      <c r="C6393" s="2" t="s">
        <v>5862</v>
      </c>
      <c r="D6393" s="3" t="str">
        <f>HYPERLINK("https://12go.asia/en/travel/Pu-Luong-Homestay/Tam-Coc-Boat-Station", "12Go Link")</f>
        <v>12Go Link</v>
      </c>
      <c r="E6393" s="2" t="s">
        <v>5637</v>
      </c>
    </row>
    <row r="6394">
      <c r="A6394" s="2" t="s">
        <v>5645</v>
      </c>
      <c r="B6394" s="2" t="s">
        <v>5611</v>
      </c>
      <c r="C6394" s="2" t="s">
        <v>5863</v>
      </c>
      <c r="D6394" s="3" t="str">
        <f>HYPERLINK("https://12go.asia/en/travel/Pu-Luong-Homestay/Phong-Nha-Midtown-Hotel", "12Go Link")</f>
        <v>12Go Link</v>
      </c>
      <c r="E6394" s="2" t="s">
        <v>5818</v>
      </c>
    </row>
    <row r="6395">
      <c r="A6395" s="2" t="s">
        <v>5864</v>
      </c>
      <c r="B6395" s="2" t="s">
        <v>5865</v>
      </c>
      <c r="C6395" s="2" t="s">
        <v>5866</v>
      </c>
      <c r="D6395" s="3" t="str">
        <f t="shared" ref="D6395:D6397" si="1171">HYPERLINK("https://12go.asia/en/travel/Kazungula-Transfer/Kenneth-Kaunda-Airport", "12Go Link")</f>
        <v>12Go Link</v>
      </c>
      <c r="E6395" s="2" t="s">
        <v>191</v>
      </c>
    </row>
    <row r="6396">
      <c r="A6396" s="2" t="s">
        <v>5864</v>
      </c>
      <c r="B6396" s="2" t="s">
        <v>5865</v>
      </c>
      <c r="C6396" s="2" t="s">
        <v>5866</v>
      </c>
      <c r="D6396" s="3" t="str">
        <f t="shared" si="1171"/>
        <v>12Go Link</v>
      </c>
      <c r="E6396" s="2" t="s">
        <v>192</v>
      </c>
    </row>
    <row r="6397">
      <c r="A6397" s="2" t="s">
        <v>5864</v>
      </c>
      <c r="B6397" s="2" t="s">
        <v>5865</v>
      </c>
      <c r="C6397" s="2" t="s">
        <v>5866</v>
      </c>
      <c r="D6397" s="3" t="str">
        <f t="shared" si="1171"/>
        <v>12Go Link</v>
      </c>
      <c r="E6397" s="2" t="s">
        <v>193</v>
      </c>
    </row>
    <row r="6398">
      <c r="A6398" s="2" t="s">
        <v>5864</v>
      </c>
      <c r="B6398" s="2" t="s">
        <v>194</v>
      </c>
      <c r="C6398" s="2" t="s">
        <v>5867</v>
      </c>
      <c r="D6398" s="3" t="str">
        <f t="shared" ref="D6398:D6400" si="1172">HYPERLINK("https://12go.asia/en/travel/Kazungula-Transfer/Victoria-Falls-Airport", "12Go Link")</f>
        <v>12Go Link</v>
      </c>
      <c r="E6398" s="2" t="s">
        <v>191</v>
      </c>
    </row>
    <row r="6399">
      <c r="A6399" s="2" t="s">
        <v>5864</v>
      </c>
      <c r="B6399" s="2" t="s">
        <v>194</v>
      </c>
      <c r="C6399" s="2" t="s">
        <v>5867</v>
      </c>
      <c r="D6399" s="3" t="str">
        <f t="shared" si="1172"/>
        <v>12Go Link</v>
      </c>
      <c r="E6399" s="2" t="s">
        <v>192</v>
      </c>
    </row>
    <row r="6400">
      <c r="A6400" s="2" t="s">
        <v>5864</v>
      </c>
      <c r="B6400" s="2" t="s">
        <v>194</v>
      </c>
      <c r="C6400" s="2" t="s">
        <v>5867</v>
      </c>
      <c r="D6400" s="3" t="str">
        <f t="shared" si="1172"/>
        <v>12Go Link</v>
      </c>
      <c r="E6400" s="2" t="s">
        <v>193</v>
      </c>
    </row>
    <row r="6401">
      <c r="A6401" s="2" t="s">
        <v>5868</v>
      </c>
      <c r="B6401" s="2" t="s">
        <v>5865</v>
      </c>
      <c r="C6401" s="2" t="s">
        <v>5869</v>
      </c>
      <c r="D6401" s="3" t="str">
        <f t="shared" ref="D6401:D6403" si="1173">HYPERLINK("https://12go.asia/en/travel/Livingstone-Hotel-Transfer/Kenneth-Kaunda-Airport", "12Go Link")</f>
        <v>12Go Link</v>
      </c>
      <c r="E6401" s="2" t="s">
        <v>191</v>
      </c>
    </row>
    <row r="6402">
      <c r="A6402" s="2" t="s">
        <v>5868</v>
      </c>
      <c r="B6402" s="2" t="s">
        <v>5865</v>
      </c>
      <c r="C6402" s="2" t="s">
        <v>5869</v>
      </c>
      <c r="D6402" s="3" t="str">
        <f t="shared" si="1173"/>
        <v>12Go Link</v>
      </c>
      <c r="E6402" s="2" t="s">
        <v>192</v>
      </c>
    </row>
    <row r="6403">
      <c r="A6403" s="2" t="s">
        <v>5868</v>
      </c>
      <c r="B6403" s="2" t="s">
        <v>5865</v>
      </c>
      <c r="C6403" s="2" t="s">
        <v>5869</v>
      </c>
      <c r="D6403" s="3" t="str">
        <f t="shared" si="1173"/>
        <v>12Go Link</v>
      </c>
      <c r="E6403" s="2" t="s">
        <v>193</v>
      </c>
    </row>
    <row r="6404">
      <c r="A6404" s="2" t="s">
        <v>5868</v>
      </c>
      <c r="B6404" s="2" t="s">
        <v>194</v>
      </c>
      <c r="C6404" s="2" t="s">
        <v>5870</v>
      </c>
      <c r="D6404" s="3" t="str">
        <f t="shared" ref="D6404:D6406" si="1174">HYPERLINK("https://12go.asia/en/travel/Livingstone-Hotel-Transfer/Victoria-Falls-Airport", "12Go Link")</f>
        <v>12Go Link</v>
      </c>
      <c r="E6404" s="2" t="s">
        <v>191</v>
      </c>
    </row>
    <row r="6405">
      <c r="A6405" s="2" t="s">
        <v>5868</v>
      </c>
      <c r="B6405" s="2" t="s">
        <v>194</v>
      </c>
      <c r="C6405" s="2" t="s">
        <v>5870</v>
      </c>
      <c r="D6405" s="3" t="str">
        <f t="shared" si="1174"/>
        <v>12Go Link</v>
      </c>
      <c r="E6405" s="2" t="s">
        <v>192</v>
      </c>
    </row>
    <row r="6406">
      <c r="A6406" s="2" t="s">
        <v>5868</v>
      </c>
      <c r="B6406" s="2" t="s">
        <v>194</v>
      </c>
      <c r="C6406" s="2" t="s">
        <v>5870</v>
      </c>
      <c r="D6406" s="3" t="str">
        <f t="shared" si="1174"/>
        <v>12Go Link</v>
      </c>
      <c r="E6406" s="2" t="s">
        <v>193</v>
      </c>
    </row>
    <row r="6407">
      <c r="A6407" s="2" t="s">
        <v>5865</v>
      </c>
      <c r="B6407" s="2" t="s">
        <v>5864</v>
      </c>
      <c r="C6407" s="2" t="s">
        <v>5871</v>
      </c>
      <c r="D6407" s="3" t="str">
        <f t="shared" ref="D6407:D6409" si="1175">HYPERLINK("https://12go.asia/en/travel/Kenneth-Kaunda-Airport/Kazungula-Transfer", "12Go Link")</f>
        <v>12Go Link</v>
      </c>
      <c r="E6407" s="2" t="s">
        <v>191</v>
      </c>
    </row>
    <row r="6408">
      <c r="A6408" s="2" t="s">
        <v>5865</v>
      </c>
      <c r="B6408" s="2" t="s">
        <v>5864</v>
      </c>
      <c r="C6408" s="2" t="s">
        <v>5871</v>
      </c>
      <c r="D6408" s="3" t="str">
        <f t="shared" si="1175"/>
        <v>12Go Link</v>
      </c>
      <c r="E6408" s="2" t="s">
        <v>192</v>
      </c>
    </row>
    <row r="6409">
      <c r="A6409" s="2" t="s">
        <v>5865</v>
      </c>
      <c r="B6409" s="2" t="s">
        <v>5864</v>
      </c>
      <c r="C6409" s="2" t="s">
        <v>5871</v>
      </c>
      <c r="D6409" s="3" t="str">
        <f t="shared" si="1175"/>
        <v>12Go Link</v>
      </c>
      <c r="E6409" s="2" t="s">
        <v>193</v>
      </c>
    </row>
    <row r="6410">
      <c r="A6410" s="2" t="s">
        <v>5865</v>
      </c>
      <c r="B6410" s="2" t="s">
        <v>5868</v>
      </c>
      <c r="C6410" s="2" t="s">
        <v>5872</v>
      </c>
      <c r="D6410" s="3" t="str">
        <f t="shared" ref="D6410:D6412" si="1176">HYPERLINK("https://12go.asia/en/travel/Kenneth-Kaunda-Airport/Livingstone-Hotel-Transfer", "12Go Link")</f>
        <v>12Go Link</v>
      </c>
      <c r="E6410" s="2" t="s">
        <v>191</v>
      </c>
    </row>
    <row r="6411">
      <c r="A6411" s="2" t="s">
        <v>5865</v>
      </c>
      <c r="B6411" s="2" t="s">
        <v>5868</v>
      </c>
      <c r="C6411" s="2" t="s">
        <v>5872</v>
      </c>
      <c r="D6411" s="3" t="str">
        <f t="shared" si="1176"/>
        <v>12Go Link</v>
      </c>
      <c r="E6411" s="2" t="s">
        <v>192</v>
      </c>
    </row>
    <row r="6412">
      <c r="A6412" s="2" t="s">
        <v>5865</v>
      </c>
      <c r="B6412" s="2" t="s">
        <v>5868</v>
      </c>
      <c r="C6412" s="2" t="s">
        <v>5872</v>
      </c>
      <c r="D6412" s="3" t="str">
        <f t="shared" si="1176"/>
        <v>12Go Link</v>
      </c>
      <c r="E6412" s="2" t="s">
        <v>193</v>
      </c>
    </row>
    <row r="6413">
      <c r="A6413" s="2" t="s">
        <v>5865</v>
      </c>
      <c r="B6413" s="2" t="s">
        <v>5865</v>
      </c>
      <c r="C6413" s="2" t="s">
        <v>5873</v>
      </c>
      <c r="D6413" s="3" t="str">
        <f t="shared" ref="D6413:D6415" si="1177">HYPERLINK("https://12go.asia/en/travel/Kenneth-Kaunda-Airport/Lusaka-City-Center-Transfer", "12Go Link")</f>
        <v>12Go Link</v>
      </c>
      <c r="E6413" s="2" t="s">
        <v>191</v>
      </c>
    </row>
    <row r="6414">
      <c r="A6414" s="2" t="s">
        <v>5865</v>
      </c>
      <c r="B6414" s="2" t="s">
        <v>5865</v>
      </c>
      <c r="C6414" s="2" t="s">
        <v>5873</v>
      </c>
      <c r="D6414" s="3" t="str">
        <f t="shared" si="1177"/>
        <v>12Go Link</v>
      </c>
      <c r="E6414" s="2" t="s">
        <v>192</v>
      </c>
    </row>
    <row r="6415">
      <c r="A6415" s="2" t="s">
        <v>5865</v>
      </c>
      <c r="B6415" s="2" t="s">
        <v>5865</v>
      </c>
      <c r="C6415" s="2" t="s">
        <v>5873</v>
      </c>
      <c r="D6415" s="3" t="str">
        <f t="shared" si="1177"/>
        <v>12Go Link</v>
      </c>
      <c r="E6415" s="2" t="s">
        <v>193</v>
      </c>
    </row>
    <row r="6416">
      <c r="A6416" s="2" t="s">
        <v>5865</v>
      </c>
      <c r="B6416" s="2" t="s">
        <v>5865</v>
      </c>
      <c r="C6416" s="2" t="s">
        <v>5874</v>
      </c>
      <c r="D6416" s="3" t="str">
        <f t="shared" ref="D6416:D6418" si="1178">HYPERLINK("https://12go.asia/en/travel/Lusaka-City-Center-Transfer/Kenneth-Kaunda-Airport", "12Go Link")</f>
        <v>12Go Link</v>
      </c>
      <c r="E6416" s="2" t="s">
        <v>191</v>
      </c>
    </row>
    <row r="6417">
      <c r="A6417" s="2" t="s">
        <v>5865</v>
      </c>
      <c r="B6417" s="2" t="s">
        <v>5865</v>
      </c>
      <c r="C6417" s="2" t="s">
        <v>5874</v>
      </c>
      <c r="D6417" s="3" t="str">
        <f t="shared" si="1178"/>
        <v>12Go Link</v>
      </c>
      <c r="E6417" s="2" t="s">
        <v>192</v>
      </c>
    </row>
    <row r="6418">
      <c r="A6418" s="2" t="s">
        <v>5865</v>
      </c>
      <c r="B6418" s="2" t="s">
        <v>5865</v>
      </c>
      <c r="C6418" s="2" t="s">
        <v>5874</v>
      </c>
      <c r="D6418" s="3" t="str">
        <f t="shared" si="1178"/>
        <v>12Go Link</v>
      </c>
      <c r="E6418" s="2" t="s">
        <v>193</v>
      </c>
    </row>
    <row r="6419">
      <c r="A6419" s="2" t="s">
        <v>5865</v>
      </c>
      <c r="B6419" s="2" t="s">
        <v>5875</v>
      </c>
      <c r="C6419" s="2" t="s">
        <v>5876</v>
      </c>
      <c r="D6419" s="3" t="str">
        <f t="shared" ref="D6419:D6421" si="1179">HYPERLINK("https://12go.asia/en/travel/Kenneth-Kaunda-Airport/Ndola-Transfer", "12Go Link")</f>
        <v>12Go Link</v>
      </c>
      <c r="E6419" s="2" t="s">
        <v>191</v>
      </c>
    </row>
    <row r="6420">
      <c r="A6420" s="2" t="s">
        <v>5865</v>
      </c>
      <c r="B6420" s="2" t="s">
        <v>5875</v>
      </c>
      <c r="C6420" s="2" t="s">
        <v>5876</v>
      </c>
      <c r="D6420" s="3" t="str">
        <f t="shared" si="1179"/>
        <v>12Go Link</v>
      </c>
      <c r="E6420" s="2" t="s">
        <v>192</v>
      </c>
    </row>
    <row r="6421">
      <c r="A6421" s="2" t="s">
        <v>5865</v>
      </c>
      <c r="B6421" s="2" t="s">
        <v>5875</v>
      </c>
      <c r="C6421" s="2" t="s">
        <v>5876</v>
      </c>
      <c r="D6421" s="3" t="str">
        <f t="shared" si="1179"/>
        <v>12Go Link</v>
      </c>
      <c r="E6421" s="2" t="s">
        <v>193</v>
      </c>
    </row>
    <row r="6422">
      <c r="A6422" s="2" t="s">
        <v>5875</v>
      </c>
      <c r="B6422" s="2" t="s">
        <v>5865</v>
      </c>
      <c r="C6422" s="2" t="s">
        <v>5877</v>
      </c>
      <c r="D6422" s="3" t="str">
        <f t="shared" ref="D6422:D6424" si="1180">HYPERLINK("https://12go.asia/en/travel/Ndola-Transfer/Kenneth-Kaunda-Airport", "12Go Link")</f>
        <v>12Go Link</v>
      </c>
      <c r="E6422" s="2" t="s">
        <v>191</v>
      </c>
    </row>
    <row r="6423">
      <c r="A6423" s="2" t="s">
        <v>5875</v>
      </c>
      <c r="B6423" s="2" t="s">
        <v>5865</v>
      </c>
      <c r="C6423" s="2" t="s">
        <v>5877</v>
      </c>
      <c r="D6423" s="3" t="str">
        <f t="shared" si="1180"/>
        <v>12Go Link</v>
      </c>
      <c r="E6423" s="2" t="s">
        <v>192</v>
      </c>
    </row>
    <row r="6424">
      <c r="A6424" s="2" t="s">
        <v>5875</v>
      </c>
      <c r="B6424" s="2" t="s">
        <v>5865</v>
      </c>
      <c r="C6424" s="2" t="s">
        <v>5877</v>
      </c>
      <c r="D6424" s="3" t="str">
        <f t="shared" si="1180"/>
        <v>12Go Link</v>
      </c>
      <c r="E6424" s="2" t="s">
        <v>193</v>
      </c>
    </row>
    <row r="6425">
      <c r="A6425" s="2" t="s">
        <v>5878</v>
      </c>
      <c r="B6425" s="2" t="s">
        <v>4651</v>
      </c>
      <c r="C6425" s="2" t="s">
        <v>5879</v>
      </c>
      <c r="D6425" s="3" t="str">
        <f t="shared" ref="D6425:D6427" si="1181">HYPERLINK("https://12go.asia/en/travel/Beatrice-Transfer/Harare-Robert-Gabriel-Mugabe-Airport", "12Go Link")</f>
        <v>12Go Link</v>
      </c>
      <c r="E6425" s="2" t="s">
        <v>191</v>
      </c>
    </row>
    <row r="6426">
      <c r="A6426" s="2" t="s">
        <v>5878</v>
      </c>
      <c r="B6426" s="2" t="s">
        <v>4651</v>
      </c>
      <c r="C6426" s="2" t="s">
        <v>5879</v>
      </c>
      <c r="D6426" s="3" t="str">
        <f t="shared" si="1181"/>
        <v>12Go Link</v>
      </c>
      <c r="E6426" s="2" t="s">
        <v>192</v>
      </c>
    </row>
    <row r="6427">
      <c r="A6427" s="2" t="s">
        <v>5878</v>
      </c>
      <c r="B6427" s="2" t="s">
        <v>4651</v>
      </c>
      <c r="C6427" s="2" t="s">
        <v>5879</v>
      </c>
      <c r="D6427" s="3" t="str">
        <f t="shared" si="1181"/>
        <v>12Go Link</v>
      </c>
      <c r="E6427" s="2" t="s">
        <v>193</v>
      </c>
    </row>
    <row r="6428">
      <c r="A6428" s="2" t="s">
        <v>5880</v>
      </c>
      <c r="B6428" s="2" t="s">
        <v>4651</v>
      </c>
      <c r="C6428" s="2" t="s">
        <v>5881</v>
      </c>
      <c r="D6428" s="3" t="str">
        <f t="shared" ref="D6428:D6430" si="1182">HYPERLINK("https://12go.asia/en/travel/Bindura-Transfer/Harare-Robert-Gabriel-Mugabe-Airport", "12Go Link")</f>
        <v>12Go Link</v>
      </c>
      <c r="E6428" s="2" t="s">
        <v>191</v>
      </c>
    </row>
    <row r="6429">
      <c r="A6429" s="2" t="s">
        <v>5880</v>
      </c>
      <c r="B6429" s="2" t="s">
        <v>4651</v>
      </c>
      <c r="C6429" s="2" t="s">
        <v>5881</v>
      </c>
      <c r="D6429" s="3" t="str">
        <f t="shared" si="1182"/>
        <v>12Go Link</v>
      </c>
      <c r="E6429" s="2" t="s">
        <v>192</v>
      </c>
    </row>
    <row r="6430">
      <c r="A6430" s="2" t="s">
        <v>5880</v>
      </c>
      <c r="B6430" s="2" t="s">
        <v>4651</v>
      </c>
      <c r="C6430" s="2" t="s">
        <v>5881</v>
      </c>
      <c r="D6430" s="3" t="str">
        <f t="shared" si="1182"/>
        <v>12Go Link</v>
      </c>
      <c r="E6430" s="2" t="s">
        <v>193</v>
      </c>
    </row>
    <row r="6431">
      <c r="A6431" s="2" t="s">
        <v>5882</v>
      </c>
      <c r="B6431" s="2" t="s">
        <v>4651</v>
      </c>
      <c r="C6431" s="2" t="s">
        <v>5883</v>
      </c>
      <c r="D6431" s="3" t="str">
        <f t="shared" ref="D6431:D6433" si="1183">HYPERLINK("https://12go.asia/en/travel/Chegutu-Transfer/Harare-Robert-Gabriel-Mugabe-Airport", "12Go Link")</f>
        <v>12Go Link</v>
      </c>
      <c r="E6431" s="2" t="s">
        <v>191</v>
      </c>
    </row>
    <row r="6432">
      <c r="A6432" s="2" t="s">
        <v>5882</v>
      </c>
      <c r="B6432" s="2" t="s">
        <v>4651</v>
      </c>
      <c r="C6432" s="2" t="s">
        <v>5883</v>
      </c>
      <c r="D6432" s="3" t="str">
        <f t="shared" si="1183"/>
        <v>12Go Link</v>
      </c>
      <c r="E6432" s="2" t="s">
        <v>192</v>
      </c>
    </row>
    <row r="6433">
      <c r="A6433" s="2" t="s">
        <v>5882</v>
      </c>
      <c r="B6433" s="2" t="s">
        <v>4651</v>
      </c>
      <c r="C6433" s="2" t="s">
        <v>5883</v>
      </c>
      <c r="D6433" s="3" t="str">
        <f t="shared" si="1183"/>
        <v>12Go Link</v>
      </c>
      <c r="E6433" s="2" t="s">
        <v>193</v>
      </c>
    </row>
    <row r="6434">
      <c r="A6434" s="2" t="s">
        <v>5884</v>
      </c>
      <c r="B6434" s="2" t="s">
        <v>4651</v>
      </c>
      <c r="C6434" s="2" t="s">
        <v>5885</v>
      </c>
      <c r="D6434" s="3" t="str">
        <f t="shared" ref="D6434:D6436" si="1184">HYPERLINK("https://12go.asia/en/travel/Chinhoyi-Transfer/Harare-Robert-Gabriel-Mugabe-Airport", "12Go Link")</f>
        <v>12Go Link</v>
      </c>
      <c r="E6434" s="2" t="s">
        <v>191</v>
      </c>
    </row>
    <row r="6435">
      <c r="A6435" s="2" t="s">
        <v>5884</v>
      </c>
      <c r="B6435" s="2" t="s">
        <v>4651</v>
      </c>
      <c r="C6435" s="2" t="s">
        <v>5885</v>
      </c>
      <c r="D6435" s="3" t="str">
        <f t="shared" si="1184"/>
        <v>12Go Link</v>
      </c>
      <c r="E6435" s="2" t="s">
        <v>192</v>
      </c>
    </row>
    <row r="6436">
      <c r="A6436" s="2" t="s">
        <v>5884</v>
      </c>
      <c r="B6436" s="2" t="s">
        <v>4651</v>
      </c>
      <c r="C6436" s="2" t="s">
        <v>5885</v>
      </c>
      <c r="D6436" s="3" t="str">
        <f t="shared" si="1184"/>
        <v>12Go Link</v>
      </c>
      <c r="E6436" s="2" t="s">
        <v>193</v>
      </c>
    </row>
    <row r="6437">
      <c r="A6437" s="2" t="s">
        <v>5886</v>
      </c>
      <c r="B6437" s="2" t="s">
        <v>4651</v>
      </c>
      <c r="C6437" s="2" t="s">
        <v>5887</v>
      </c>
      <c r="D6437" s="3" t="str">
        <f t="shared" ref="D6437:D6439" si="1185">HYPERLINK("https://12go.asia/en/travel/Chipinge-Transfer/Harare-Robert-Gabriel-Mugabe-Airport", "12Go Link")</f>
        <v>12Go Link</v>
      </c>
      <c r="E6437" s="2" t="s">
        <v>191</v>
      </c>
    </row>
    <row r="6438">
      <c r="A6438" s="2" t="s">
        <v>5886</v>
      </c>
      <c r="B6438" s="2" t="s">
        <v>4651</v>
      </c>
      <c r="C6438" s="2" t="s">
        <v>5887</v>
      </c>
      <c r="D6438" s="3" t="str">
        <f t="shared" si="1185"/>
        <v>12Go Link</v>
      </c>
      <c r="E6438" s="2" t="s">
        <v>192</v>
      </c>
    </row>
    <row r="6439">
      <c r="A6439" s="2" t="s">
        <v>5886</v>
      </c>
      <c r="B6439" s="2" t="s">
        <v>4651</v>
      </c>
      <c r="C6439" s="2" t="s">
        <v>5887</v>
      </c>
      <c r="D6439" s="3" t="str">
        <f t="shared" si="1185"/>
        <v>12Go Link</v>
      </c>
      <c r="E6439" s="2" t="s">
        <v>193</v>
      </c>
    </row>
    <row r="6440">
      <c r="A6440" s="2" t="s">
        <v>5888</v>
      </c>
      <c r="B6440" s="2" t="s">
        <v>4651</v>
      </c>
      <c r="C6440" s="2" t="s">
        <v>5889</v>
      </c>
      <c r="D6440" s="3" t="str">
        <f t="shared" ref="D6440:D6442" si="1186">HYPERLINK("https://12go.asia/en/travel/Chitungwiza-Transfer/Harare-Robert-Gabriel-Mugabe-Airport", "12Go Link")</f>
        <v>12Go Link</v>
      </c>
      <c r="E6440" s="2" t="s">
        <v>191</v>
      </c>
    </row>
    <row r="6441">
      <c r="A6441" s="2" t="s">
        <v>5888</v>
      </c>
      <c r="B6441" s="2" t="s">
        <v>4651</v>
      </c>
      <c r="C6441" s="2" t="s">
        <v>5889</v>
      </c>
      <c r="D6441" s="3" t="str">
        <f t="shared" si="1186"/>
        <v>12Go Link</v>
      </c>
      <c r="E6441" s="2" t="s">
        <v>192</v>
      </c>
    </row>
    <row r="6442">
      <c r="A6442" s="2" t="s">
        <v>5888</v>
      </c>
      <c r="B6442" s="2" t="s">
        <v>4651</v>
      </c>
      <c r="C6442" s="2" t="s">
        <v>5889</v>
      </c>
      <c r="D6442" s="3" t="str">
        <f t="shared" si="1186"/>
        <v>12Go Link</v>
      </c>
      <c r="E6442" s="2" t="s">
        <v>193</v>
      </c>
    </row>
    <row r="6443">
      <c r="A6443" s="2" t="s">
        <v>5890</v>
      </c>
      <c r="B6443" s="2" t="s">
        <v>4651</v>
      </c>
      <c r="C6443" s="2" t="s">
        <v>5891</v>
      </c>
      <c r="D6443" s="3" t="str">
        <f t="shared" ref="D6443:D6445" si="1187">HYPERLINK("https://12go.asia/en/travel/Christon-Bank-Transfer/Harare-Robert-Gabriel-Mugabe-Airport", "12Go Link")</f>
        <v>12Go Link</v>
      </c>
      <c r="E6443" s="2" t="s">
        <v>191</v>
      </c>
    </row>
    <row r="6444">
      <c r="A6444" s="2" t="s">
        <v>5890</v>
      </c>
      <c r="B6444" s="2" t="s">
        <v>4651</v>
      </c>
      <c r="C6444" s="2" t="s">
        <v>5891</v>
      </c>
      <c r="D6444" s="3" t="str">
        <f t="shared" si="1187"/>
        <v>12Go Link</v>
      </c>
      <c r="E6444" s="2" t="s">
        <v>192</v>
      </c>
    </row>
    <row r="6445">
      <c r="A6445" s="2" t="s">
        <v>5890</v>
      </c>
      <c r="B6445" s="2" t="s">
        <v>4651</v>
      </c>
      <c r="C6445" s="2" t="s">
        <v>5891</v>
      </c>
      <c r="D6445" s="3" t="str">
        <f t="shared" si="1187"/>
        <v>12Go Link</v>
      </c>
      <c r="E6445" s="2" t="s">
        <v>193</v>
      </c>
    </row>
    <row r="6446">
      <c r="A6446" s="2" t="s">
        <v>5892</v>
      </c>
      <c r="B6446" s="2" t="s">
        <v>4651</v>
      </c>
      <c r="C6446" s="2" t="s">
        <v>5893</v>
      </c>
      <c r="D6446" s="3" t="str">
        <f t="shared" ref="D6446:D6448" si="1188">HYPERLINK("https://12go.asia/en/travel/Darwendale-Transfer/Harare-Robert-Gabriel-Mugabe-Airport", "12Go Link")</f>
        <v>12Go Link</v>
      </c>
      <c r="E6446" s="2" t="s">
        <v>191</v>
      </c>
    </row>
    <row r="6447">
      <c r="A6447" s="2" t="s">
        <v>5892</v>
      </c>
      <c r="B6447" s="2" t="s">
        <v>4651</v>
      </c>
      <c r="C6447" s="2" t="s">
        <v>5893</v>
      </c>
      <c r="D6447" s="3" t="str">
        <f t="shared" si="1188"/>
        <v>12Go Link</v>
      </c>
      <c r="E6447" s="2" t="s">
        <v>192</v>
      </c>
    </row>
    <row r="6448">
      <c r="A6448" s="2" t="s">
        <v>5892</v>
      </c>
      <c r="B6448" s="2" t="s">
        <v>4651</v>
      </c>
      <c r="C6448" s="2" t="s">
        <v>5893</v>
      </c>
      <c r="D6448" s="3" t="str">
        <f t="shared" si="1188"/>
        <v>12Go Link</v>
      </c>
      <c r="E6448" s="2" t="s">
        <v>193</v>
      </c>
    </row>
    <row r="6449">
      <c r="A6449" s="2" t="s">
        <v>5894</v>
      </c>
      <c r="B6449" s="2" t="s">
        <v>4651</v>
      </c>
      <c r="C6449" s="2" t="s">
        <v>5895</v>
      </c>
      <c r="D6449" s="3" t="str">
        <f t="shared" ref="D6449:D6451" si="1189">HYPERLINK("https://12go.asia/en/travel/Domboshava-Transfer/Harare-Robert-Gabriel-Mugabe-Airport", "12Go Link")</f>
        <v>12Go Link</v>
      </c>
      <c r="E6449" s="2" t="s">
        <v>191</v>
      </c>
    </row>
    <row r="6450">
      <c r="A6450" s="2" t="s">
        <v>5894</v>
      </c>
      <c r="B6450" s="2" t="s">
        <v>4651</v>
      </c>
      <c r="C6450" s="2" t="s">
        <v>5895</v>
      </c>
      <c r="D6450" s="3" t="str">
        <f t="shared" si="1189"/>
        <v>12Go Link</v>
      </c>
      <c r="E6450" s="2" t="s">
        <v>192</v>
      </c>
    </row>
    <row r="6451">
      <c r="A6451" s="2" t="s">
        <v>5894</v>
      </c>
      <c r="B6451" s="2" t="s">
        <v>4651</v>
      </c>
      <c r="C6451" s="2" t="s">
        <v>5895</v>
      </c>
      <c r="D6451" s="3" t="str">
        <f t="shared" si="1189"/>
        <v>12Go Link</v>
      </c>
      <c r="E6451" s="2" t="s">
        <v>193</v>
      </c>
    </row>
    <row r="6452">
      <c r="A6452" s="2" t="s">
        <v>5896</v>
      </c>
      <c r="B6452" s="2" t="s">
        <v>4651</v>
      </c>
      <c r="C6452" s="2" t="s">
        <v>5897</v>
      </c>
      <c r="D6452" s="3" t="str">
        <f t="shared" ref="D6452:D6454" si="1190">HYPERLINK("https://12go.asia/en/travel/Goromonzi-Transfer/Harare-Robert-Gabriel-Mugabe-Airport", "12Go Link")</f>
        <v>12Go Link</v>
      </c>
      <c r="E6452" s="2" t="s">
        <v>191</v>
      </c>
    </row>
    <row r="6453">
      <c r="A6453" s="2" t="s">
        <v>5896</v>
      </c>
      <c r="B6453" s="2" t="s">
        <v>4651</v>
      </c>
      <c r="C6453" s="2" t="s">
        <v>5897</v>
      </c>
      <c r="D6453" s="3" t="str">
        <f t="shared" si="1190"/>
        <v>12Go Link</v>
      </c>
      <c r="E6453" s="2" t="s">
        <v>192</v>
      </c>
    </row>
    <row r="6454">
      <c r="A6454" s="2" t="s">
        <v>5896</v>
      </c>
      <c r="B6454" s="2" t="s">
        <v>4651</v>
      </c>
      <c r="C6454" s="2" t="s">
        <v>5897</v>
      </c>
      <c r="D6454" s="3" t="str">
        <f t="shared" si="1190"/>
        <v>12Go Link</v>
      </c>
      <c r="E6454" s="2" t="s">
        <v>193</v>
      </c>
    </row>
    <row r="6455">
      <c r="A6455" s="2" t="s">
        <v>5898</v>
      </c>
      <c r="B6455" s="2" t="s">
        <v>4651</v>
      </c>
      <c r="C6455" s="2" t="s">
        <v>5899</v>
      </c>
      <c r="D6455" s="3" t="str">
        <f t="shared" ref="D6455:D6457" si="1191">HYPERLINK("https://12go.asia/en/travel/Guruve-Transfer/Harare-Robert-Gabriel-Mugabe-Airport", "12Go Link")</f>
        <v>12Go Link</v>
      </c>
      <c r="E6455" s="2" t="s">
        <v>191</v>
      </c>
    </row>
    <row r="6456">
      <c r="A6456" s="2" t="s">
        <v>5898</v>
      </c>
      <c r="B6456" s="2" t="s">
        <v>4651</v>
      </c>
      <c r="C6456" s="2" t="s">
        <v>5899</v>
      </c>
      <c r="D6456" s="3" t="str">
        <f t="shared" si="1191"/>
        <v>12Go Link</v>
      </c>
      <c r="E6456" s="2" t="s">
        <v>192</v>
      </c>
    </row>
    <row r="6457">
      <c r="A6457" s="2" t="s">
        <v>5898</v>
      </c>
      <c r="B6457" s="2" t="s">
        <v>4651</v>
      </c>
      <c r="C6457" s="2" t="s">
        <v>5899</v>
      </c>
      <c r="D6457" s="3" t="str">
        <f t="shared" si="1191"/>
        <v>12Go Link</v>
      </c>
      <c r="E6457" s="2" t="s">
        <v>193</v>
      </c>
    </row>
    <row r="6458">
      <c r="A6458" s="2" t="s">
        <v>5900</v>
      </c>
      <c r="B6458" s="2" t="s">
        <v>4651</v>
      </c>
      <c r="C6458" s="2" t="s">
        <v>5901</v>
      </c>
      <c r="D6458" s="3" t="str">
        <f t="shared" ref="D6458:D6460" si="1192">HYPERLINK("https://12go.asia/en/travel/Gweru-Transfer/Harare-Robert-Gabriel-Mugabe-Airport", "12Go Link")</f>
        <v>12Go Link</v>
      </c>
      <c r="E6458" s="2" t="s">
        <v>191</v>
      </c>
    </row>
    <row r="6459">
      <c r="A6459" s="2" t="s">
        <v>5900</v>
      </c>
      <c r="B6459" s="2" t="s">
        <v>4651</v>
      </c>
      <c r="C6459" s="2" t="s">
        <v>5901</v>
      </c>
      <c r="D6459" s="3" t="str">
        <f t="shared" si="1192"/>
        <v>12Go Link</v>
      </c>
      <c r="E6459" s="2" t="s">
        <v>192</v>
      </c>
    </row>
    <row r="6460">
      <c r="A6460" s="2" t="s">
        <v>5900</v>
      </c>
      <c r="B6460" s="2" t="s">
        <v>4651</v>
      </c>
      <c r="C6460" s="2" t="s">
        <v>5901</v>
      </c>
      <c r="D6460" s="3" t="str">
        <f t="shared" si="1192"/>
        <v>12Go Link</v>
      </c>
      <c r="E6460" s="2" t="s">
        <v>193</v>
      </c>
    </row>
    <row r="6461">
      <c r="A6461" s="2" t="s">
        <v>4651</v>
      </c>
      <c r="B6461" s="2" t="s">
        <v>4307</v>
      </c>
      <c r="C6461" s="2" t="s">
        <v>5902</v>
      </c>
      <c r="D6461" s="3" t="str">
        <f t="shared" ref="D6461:D6463" si="1193">HYPERLINK("https://12go.asia/en/travel/Harare-Robert-Gabriel-Mugabe-Airport/Mount-Pleasant-Transfer", "12Go Link")</f>
        <v>12Go Link</v>
      </c>
      <c r="E6461" s="2" t="s">
        <v>191</v>
      </c>
    </row>
    <row r="6462">
      <c r="A6462" s="2" t="s">
        <v>4651</v>
      </c>
      <c r="B6462" s="2" t="s">
        <v>4307</v>
      </c>
      <c r="C6462" s="2" t="s">
        <v>5902</v>
      </c>
      <c r="D6462" s="3" t="str">
        <f t="shared" si="1193"/>
        <v>12Go Link</v>
      </c>
      <c r="E6462" s="2" t="s">
        <v>192</v>
      </c>
    </row>
    <row r="6463">
      <c r="A6463" s="2" t="s">
        <v>4651</v>
      </c>
      <c r="B6463" s="2" t="s">
        <v>4307</v>
      </c>
      <c r="C6463" s="2" t="s">
        <v>5902</v>
      </c>
      <c r="D6463" s="3" t="str">
        <f t="shared" si="1193"/>
        <v>12Go Link</v>
      </c>
      <c r="E6463" s="2" t="s">
        <v>193</v>
      </c>
    </row>
    <row r="6464">
      <c r="A6464" s="2" t="s">
        <v>4651</v>
      </c>
      <c r="B6464" s="2" t="s">
        <v>5878</v>
      </c>
      <c r="C6464" s="2" t="s">
        <v>5903</v>
      </c>
      <c r="D6464" s="3" t="str">
        <f t="shared" ref="D6464:D6466" si="1194">HYPERLINK("https://12go.asia/en/travel/Harare-Robert-Gabriel-Mugabe-Airport/Beatrice-Transfer", "12Go Link")</f>
        <v>12Go Link</v>
      </c>
      <c r="E6464" s="2" t="s">
        <v>191</v>
      </c>
    </row>
    <row r="6465">
      <c r="A6465" s="2" t="s">
        <v>4651</v>
      </c>
      <c r="B6465" s="2" t="s">
        <v>5878</v>
      </c>
      <c r="C6465" s="2" t="s">
        <v>5903</v>
      </c>
      <c r="D6465" s="3" t="str">
        <f t="shared" si="1194"/>
        <v>12Go Link</v>
      </c>
      <c r="E6465" s="2" t="s">
        <v>192</v>
      </c>
    </row>
    <row r="6466">
      <c r="A6466" s="2" t="s">
        <v>4651</v>
      </c>
      <c r="B6466" s="2" t="s">
        <v>5878</v>
      </c>
      <c r="C6466" s="2" t="s">
        <v>5903</v>
      </c>
      <c r="D6466" s="3" t="str">
        <f t="shared" si="1194"/>
        <v>12Go Link</v>
      </c>
      <c r="E6466" s="2" t="s">
        <v>193</v>
      </c>
    </row>
    <row r="6467">
      <c r="A6467" s="2" t="s">
        <v>4651</v>
      </c>
      <c r="B6467" s="2" t="s">
        <v>5880</v>
      </c>
      <c r="C6467" s="2" t="s">
        <v>5904</v>
      </c>
      <c r="D6467" s="3" t="str">
        <f t="shared" ref="D6467:D6469" si="1195">HYPERLINK("https://12go.asia/en/travel/Harare-Robert-Gabriel-Mugabe-Airport/Bindura-Transfer", "12Go Link")</f>
        <v>12Go Link</v>
      </c>
      <c r="E6467" s="2" t="s">
        <v>191</v>
      </c>
    </row>
    <row r="6468">
      <c r="A6468" s="2" t="s">
        <v>4651</v>
      </c>
      <c r="B6468" s="2" t="s">
        <v>5880</v>
      </c>
      <c r="C6468" s="2" t="s">
        <v>5904</v>
      </c>
      <c r="D6468" s="3" t="str">
        <f t="shared" si="1195"/>
        <v>12Go Link</v>
      </c>
      <c r="E6468" s="2" t="s">
        <v>192</v>
      </c>
    </row>
    <row r="6469">
      <c r="A6469" s="2" t="s">
        <v>4651</v>
      </c>
      <c r="B6469" s="2" t="s">
        <v>5880</v>
      </c>
      <c r="C6469" s="2" t="s">
        <v>5904</v>
      </c>
      <c r="D6469" s="3" t="str">
        <f t="shared" si="1195"/>
        <v>12Go Link</v>
      </c>
      <c r="E6469" s="2" t="s">
        <v>193</v>
      </c>
    </row>
    <row r="6470">
      <c r="A6470" s="2" t="s">
        <v>4651</v>
      </c>
      <c r="B6470" s="2" t="s">
        <v>5882</v>
      </c>
      <c r="C6470" s="2" t="s">
        <v>5905</v>
      </c>
      <c r="D6470" s="3" t="str">
        <f t="shared" ref="D6470:D6472" si="1196">HYPERLINK("https://12go.asia/en/travel/Harare-Robert-Gabriel-Mugabe-Airport/Chegutu-Transfer", "12Go Link")</f>
        <v>12Go Link</v>
      </c>
      <c r="E6470" s="2" t="s">
        <v>191</v>
      </c>
    </row>
    <row r="6471">
      <c r="A6471" s="2" t="s">
        <v>4651</v>
      </c>
      <c r="B6471" s="2" t="s">
        <v>5882</v>
      </c>
      <c r="C6471" s="2" t="s">
        <v>5905</v>
      </c>
      <c r="D6471" s="3" t="str">
        <f t="shared" si="1196"/>
        <v>12Go Link</v>
      </c>
      <c r="E6471" s="2" t="s">
        <v>192</v>
      </c>
    </row>
    <row r="6472">
      <c r="A6472" s="2" t="s">
        <v>4651</v>
      </c>
      <c r="B6472" s="2" t="s">
        <v>5882</v>
      </c>
      <c r="C6472" s="2" t="s">
        <v>5905</v>
      </c>
      <c r="D6472" s="3" t="str">
        <f t="shared" si="1196"/>
        <v>12Go Link</v>
      </c>
      <c r="E6472" s="2" t="s">
        <v>193</v>
      </c>
    </row>
    <row r="6473">
      <c r="A6473" s="2" t="s">
        <v>4651</v>
      </c>
      <c r="B6473" s="2" t="s">
        <v>5884</v>
      </c>
      <c r="C6473" s="2" t="s">
        <v>5906</v>
      </c>
      <c r="D6473" s="3" t="str">
        <f t="shared" ref="D6473:D6475" si="1197">HYPERLINK("https://12go.asia/en/travel/Harare-Robert-Gabriel-Mugabe-Airport/Chinhoyi-Transfer", "12Go Link")</f>
        <v>12Go Link</v>
      </c>
      <c r="E6473" s="2" t="s">
        <v>191</v>
      </c>
    </row>
    <row r="6474">
      <c r="A6474" s="2" t="s">
        <v>4651</v>
      </c>
      <c r="B6474" s="2" t="s">
        <v>5884</v>
      </c>
      <c r="C6474" s="2" t="s">
        <v>5906</v>
      </c>
      <c r="D6474" s="3" t="str">
        <f t="shared" si="1197"/>
        <v>12Go Link</v>
      </c>
      <c r="E6474" s="2" t="s">
        <v>192</v>
      </c>
    </row>
    <row r="6475">
      <c r="A6475" s="2" t="s">
        <v>4651</v>
      </c>
      <c r="B6475" s="2" t="s">
        <v>5884</v>
      </c>
      <c r="C6475" s="2" t="s">
        <v>5906</v>
      </c>
      <c r="D6475" s="3" t="str">
        <f t="shared" si="1197"/>
        <v>12Go Link</v>
      </c>
      <c r="E6475" s="2" t="s">
        <v>193</v>
      </c>
    </row>
    <row r="6476">
      <c r="A6476" s="2" t="s">
        <v>4651</v>
      </c>
      <c r="B6476" s="2" t="s">
        <v>5886</v>
      </c>
      <c r="C6476" s="2" t="s">
        <v>5907</v>
      </c>
      <c r="D6476" s="3" t="str">
        <f t="shared" ref="D6476:D6478" si="1198">HYPERLINK("https://12go.asia/en/travel/Harare-Robert-Gabriel-Mugabe-Airport/Chipinge-Transfer", "12Go Link")</f>
        <v>12Go Link</v>
      </c>
      <c r="E6476" s="2" t="s">
        <v>191</v>
      </c>
    </row>
    <row r="6477">
      <c r="A6477" s="2" t="s">
        <v>4651</v>
      </c>
      <c r="B6477" s="2" t="s">
        <v>5886</v>
      </c>
      <c r="C6477" s="2" t="s">
        <v>5907</v>
      </c>
      <c r="D6477" s="3" t="str">
        <f t="shared" si="1198"/>
        <v>12Go Link</v>
      </c>
      <c r="E6477" s="2" t="s">
        <v>192</v>
      </c>
    </row>
    <row r="6478">
      <c r="A6478" s="2" t="s">
        <v>4651</v>
      </c>
      <c r="B6478" s="2" t="s">
        <v>5886</v>
      </c>
      <c r="C6478" s="2" t="s">
        <v>5907</v>
      </c>
      <c r="D6478" s="3" t="str">
        <f t="shared" si="1198"/>
        <v>12Go Link</v>
      </c>
      <c r="E6478" s="2" t="s">
        <v>193</v>
      </c>
    </row>
    <row r="6479">
      <c r="A6479" s="2" t="s">
        <v>4651</v>
      </c>
      <c r="B6479" s="2" t="s">
        <v>5888</v>
      </c>
      <c r="C6479" s="2" t="s">
        <v>5908</v>
      </c>
      <c r="D6479" s="3" t="str">
        <f t="shared" ref="D6479:D6481" si="1199">HYPERLINK("https://12go.asia/en/travel/Harare-Robert-Gabriel-Mugabe-Airport/Chitungwiza-Transfer", "12Go Link")</f>
        <v>12Go Link</v>
      </c>
      <c r="E6479" s="2" t="s">
        <v>191</v>
      </c>
    </row>
    <row r="6480">
      <c r="A6480" s="2" t="s">
        <v>4651</v>
      </c>
      <c r="B6480" s="2" t="s">
        <v>5888</v>
      </c>
      <c r="C6480" s="2" t="s">
        <v>5908</v>
      </c>
      <c r="D6480" s="3" t="str">
        <f t="shared" si="1199"/>
        <v>12Go Link</v>
      </c>
      <c r="E6480" s="2" t="s">
        <v>192</v>
      </c>
    </row>
    <row r="6481">
      <c r="A6481" s="2" t="s">
        <v>4651</v>
      </c>
      <c r="B6481" s="2" t="s">
        <v>5888</v>
      </c>
      <c r="C6481" s="2" t="s">
        <v>5908</v>
      </c>
      <c r="D6481" s="3" t="str">
        <f t="shared" si="1199"/>
        <v>12Go Link</v>
      </c>
      <c r="E6481" s="2" t="s">
        <v>193</v>
      </c>
    </row>
    <row r="6482">
      <c r="A6482" s="2" t="s">
        <v>4651</v>
      </c>
      <c r="B6482" s="2" t="s">
        <v>5890</v>
      </c>
      <c r="C6482" s="2" t="s">
        <v>5909</v>
      </c>
      <c r="D6482" s="3" t="str">
        <f t="shared" ref="D6482:D6484" si="1200">HYPERLINK("https://12go.asia/en/travel/Harare-Robert-Gabriel-Mugabe-Airport/Christon-Bank-Transfer", "12Go Link")</f>
        <v>12Go Link</v>
      </c>
      <c r="E6482" s="2" t="s">
        <v>191</v>
      </c>
    </row>
    <row r="6483">
      <c r="A6483" s="2" t="s">
        <v>4651</v>
      </c>
      <c r="B6483" s="2" t="s">
        <v>5890</v>
      </c>
      <c r="C6483" s="2" t="s">
        <v>5909</v>
      </c>
      <c r="D6483" s="3" t="str">
        <f t="shared" si="1200"/>
        <v>12Go Link</v>
      </c>
      <c r="E6483" s="2" t="s">
        <v>192</v>
      </c>
    </row>
    <row r="6484">
      <c r="A6484" s="2" t="s">
        <v>4651</v>
      </c>
      <c r="B6484" s="2" t="s">
        <v>5890</v>
      </c>
      <c r="C6484" s="2" t="s">
        <v>5909</v>
      </c>
      <c r="D6484" s="3" t="str">
        <f t="shared" si="1200"/>
        <v>12Go Link</v>
      </c>
      <c r="E6484" s="2" t="s">
        <v>193</v>
      </c>
    </row>
    <row r="6485">
      <c r="A6485" s="2" t="s">
        <v>4651</v>
      </c>
      <c r="B6485" s="2" t="s">
        <v>5892</v>
      </c>
      <c r="C6485" s="2" t="s">
        <v>5910</v>
      </c>
      <c r="D6485" s="3" t="str">
        <f t="shared" ref="D6485:D6487" si="1201">HYPERLINK("https://12go.asia/en/travel/Harare-Robert-Gabriel-Mugabe-Airport/Darwendale-Transfer", "12Go Link")</f>
        <v>12Go Link</v>
      </c>
      <c r="E6485" s="2" t="s">
        <v>191</v>
      </c>
    </row>
    <row r="6486">
      <c r="A6486" s="2" t="s">
        <v>4651</v>
      </c>
      <c r="B6486" s="2" t="s">
        <v>5892</v>
      </c>
      <c r="C6486" s="2" t="s">
        <v>5910</v>
      </c>
      <c r="D6486" s="3" t="str">
        <f t="shared" si="1201"/>
        <v>12Go Link</v>
      </c>
      <c r="E6486" s="2" t="s">
        <v>192</v>
      </c>
    </row>
    <row r="6487">
      <c r="A6487" s="2" t="s">
        <v>4651</v>
      </c>
      <c r="B6487" s="2" t="s">
        <v>5892</v>
      </c>
      <c r="C6487" s="2" t="s">
        <v>5910</v>
      </c>
      <c r="D6487" s="3" t="str">
        <f t="shared" si="1201"/>
        <v>12Go Link</v>
      </c>
      <c r="E6487" s="2" t="s">
        <v>193</v>
      </c>
    </row>
    <row r="6488">
      <c r="A6488" s="2" t="s">
        <v>4651</v>
      </c>
      <c r="B6488" s="2" t="s">
        <v>5894</v>
      </c>
      <c r="C6488" s="2" t="s">
        <v>5911</v>
      </c>
      <c r="D6488" s="3" t="str">
        <f t="shared" ref="D6488:D6490" si="1202">HYPERLINK("https://12go.asia/en/travel/Harare-Robert-Gabriel-Mugabe-Airport/Domboshava-Transfer", "12Go Link")</f>
        <v>12Go Link</v>
      </c>
      <c r="E6488" s="2" t="s">
        <v>191</v>
      </c>
    </row>
    <row r="6489">
      <c r="A6489" s="2" t="s">
        <v>4651</v>
      </c>
      <c r="B6489" s="2" t="s">
        <v>5894</v>
      </c>
      <c r="C6489" s="2" t="s">
        <v>5911</v>
      </c>
      <c r="D6489" s="3" t="str">
        <f t="shared" si="1202"/>
        <v>12Go Link</v>
      </c>
      <c r="E6489" s="2" t="s">
        <v>192</v>
      </c>
    </row>
    <row r="6490">
      <c r="A6490" s="2" t="s">
        <v>4651</v>
      </c>
      <c r="B6490" s="2" t="s">
        <v>5894</v>
      </c>
      <c r="C6490" s="2" t="s">
        <v>5911</v>
      </c>
      <c r="D6490" s="3" t="str">
        <f t="shared" si="1202"/>
        <v>12Go Link</v>
      </c>
      <c r="E6490" s="2" t="s">
        <v>193</v>
      </c>
    </row>
    <row r="6491">
      <c r="A6491" s="2" t="s">
        <v>4651</v>
      </c>
      <c r="B6491" s="2" t="s">
        <v>5896</v>
      </c>
      <c r="C6491" s="2" t="s">
        <v>5912</v>
      </c>
      <c r="D6491" s="3" t="str">
        <f t="shared" ref="D6491:D6493" si="1203">HYPERLINK("https://12go.asia/en/travel/Harare-Robert-Gabriel-Mugabe-Airport/Goromonzi-Transfer", "12Go Link")</f>
        <v>12Go Link</v>
      </c>
      <c r="E6491" s="2" t="s">
        <v>191</v>
      </c>
    </row>
    <row r="6492">
      <c r="A6492" s="2" t="s">
        <v>4651</v>
      </c>
      <c r="B6492" s="2" t="s">
        <v>5896</v>
      </c>
      <c r="C6492" s="2" t="s">
        <v>5912</v>
      </c>
      <c r="D6492" s="3" t="str">
        <f t="shared" si="1203"/>
        <v>12Go Link</v>
      </c>
      <c r="E6492" s="2" t="s">
        <v>192</v>
      </c>
    </row>
    <row r="6493">
      <c r="A6493" s="2" t="s">
        <v>4651</v>
      </c>
      <c r="B6493" s="2" t="s">
        <v>5896</v>
      </c>
      <c r="C6493" s="2" t="s">
        <v>5912</v>
      </c>
      <c r="D6493" s="3" t="str">
        <f t="shared" si="1203"/>
        <v>12Go Link</v>
      </c>
      <c r="E6493" s="2" t="s">
        <v>193</v>
      </c>
    </row>
    <row r="6494">
      <c r="A6494" s="2" t="s">
        <v>4651</v>
      </c>
      <c r="B6494" s="2" t="s">
        <v>5898</v>
      </c>
      <c r="C6494" s="2" t="s">
        <v>5913</v>
      </c>
      <c r="D6494" s="3" t="str">
        <f t="shared" ref="D6494:D6496" si="1204">HYPERLINK("https://12go.asia/en/travel/Harare-Robert-Gabriel-Mugabe-Airport/Guruve-Transfer", "12Go Link")</f>
        <v>12Go Link</v>
      </c>
      <c r="E6494" s="2" t="s">
        <v>191</v>
      </c>
    </row>
    <row r="6495">
      <c r="A6495" s="2" t="s">
        <v>4651</v>
      </c>
      <c r="B6495" s="2" t="s">
        <v>5898</v>
      </c>
      <c r="C6495" s="2" t="s">
        <v>5913</v>
      </c>
      <c r="D6495" s="3" t="str">
        <f t="shared" si="1204"/>
        <v>12Go Link</v>
      </c>
      <c r="E6495" s="2" t="s">
        <v>192</v>
      </c>
    </row>
    <row r="6496">
      <c r="A6496" s="2" t="s">
        <v>4651</v>
      </c>
      <c r="B6496" s="2" t="s">
        <v>5898</v>
      </c>
      <c r="C6496" s="2" t="s">
        <v>5913</v>
      </c>
      <c r="D6496" s="3" t="str">
        <f t="shared" si="1204"/>
        <v>12Go Link</v>
      </c>
      <c r="E6496" s="2" t="s">
        <v>193</v>
      </c>
    </row>
    <row r="6497">
      <c r="A6497" s="2" t="s">
        <v>4651</v>
      </c>
      <c r="B6497" s="2" t="s">
        <v>5900</v>
      </c>
      <c r="C6497" s="2" t="s">
        <v>5914</v>
      </c>
      <c r="D6497" s="3" t="str">
        <f t="shared" ref="D6497:D6499" si="1205">HYPERLINK("https://12go.asia/en/travel/Harare-Robert-Gabriel-Mugabe-Airport/Gweru-Transfer", "12Go Link")</f>
        <v>12Go Link</v>
      </c>
      <c r="E6497" s="2" t="s">
        <v>191</v>
      </c>
    </row>
    <row r="6498">
      <c r="A6498" s="2" t="s">
        <v>4651</v>
      </c>
      <c r="B6498" s="2" t="s">
        <v>5900</v>
      </c>
      <c r="C6498" s="2" t="s">
        <v>5914</v>
      </c>
      <c r="D6498" s="3" t="str">
        <f t="shared" si="1205"/>
        <v>12Go Link</v>
      </c>
      <c r="E6498" s="2" t="s">
        <v>192</v>
      </c>
    </row>
    <row r="6499">
      <c r="A6499" s="2" t="s">
        <v>4651</v>
      </c>
      <c r="B6499" s="2" t="s">
        <v>5900</v>
      </c>
      <c r="C6499" s="2" t="s">
        <v>5914</v>
      </c>
      <c r="D6499" s="3" t="str">
        <f t="shared" si="1205"/>
        <v>12Go Link</v>
      </c>
      <c r="E6499" s="2" t="s">
        <v>193</v>
      </c>
    </row>
    <row r="6500">
      <c r="A6500" s="2" t="s">
        <v>4651</v>
      </c>
      <c r="B6500" s="2" t="s">
        <v>4651</v>
      </c>
      <c r="C6500" s="2" t="s">
        <v>5915</v>
      </c>
      <c r="D6500" s="3" t="str">
        <f t="shared" ref="D6500:D6502" si="1206">HYPERLINK("https://12go.asia/en/travel/Avondale-Transfer/Harare-Robert-Gabriel-Mugabe-Airport", "12Go Link")</f>
        <v>12Go Link</v>
      </c>
      <c r="E6500" s="2" t="s">
        <v>191</v>
      </c>
    </row>
    <row r="6501">
      <c r="A6501" s="2" t="s">
        <v>4651</v>
      </c>
      <c r="B6501" s="2" t="s">
        <v>4651</v>
      </c>
      <c r="C6501" s="2" t="s">
        <v>5915</v>
      </c>
      <c r="D6501" s="3" t="str">
        <f t="shared" si="1206"/>
        <v>12Go Link</v>
      </c>
      <c r="E6501" s="2" t="s">
        <v>192</v>
      </c>
    </row>
    <row r="6502">
      <c r="A6502" s="2" t="s">
        <v>4651</v>
      </c>
      <c r="B6502" s="2" t="s">
        <v>4651</v>
      </c>
      <c r="C6502" s="2" t="s">
        <v>5915</v>
      </c>
      <c r="D6502" s="3" t="str">
        <f t="shared" si="1206"/>
        <v>12Go Link</v>
      </c>
      <c r="E6502" s="2" t="s">
        <v>193</v>
      </c>
    </row>
    <row r="6503">
      <c r="A6503" s="2" t="s">
        <v>4651</v>
      </c>
      <c r="B6503" s="2" t="s">
        <v>4651</v>
      </c>
      <c r="C6503" s="2" t="s">
        <v>5916</v>
      </c>
      <c r="D6503" s="3" t="str">
        <f t="shared" ref="D6503:D6505" si="1207">HYPERLINK("https://12go.asia/en/travel/Borrowdale-Transfer/Harare-Robert-Gabriel-Mugabe-Airport", "12Go Link")</f>
        <v>12Go Link</v>
      </c>
      <c r="E6503" s="2" t="s">
        <v>191</v>
      </c>
    </row>
    <row r="6504">
      <c r="A6504" s="2" t="s">
        <v>4651</v>
      </c>
      <c r="B6504" s="2" t="s">
        <v>4651</v>
      </c>
      <c r="C6504" s="2" t="s">
        <v>5916</v>
      </c>
      <c r="D6504" s="3" t="str">
        <f t="shared" si="1207"/>
        <v>12Go Link</v>
      </c>
      <c r="E6504" s="2" t="s">
        <v>192</v>
      </c>
    </row>
    <row r="6505">
      <c r="A6505" s="2" t="s">
        <v>4651</v>
      </c>
      <c r="B6505" s="2" t="s">
        <v>4651</v>
      </c>
      <c r="C6505" s="2" t="s">
        <v>5916</v>
      </c>
      <c r="D6505" s="3" t="str">
        <f t="shared" si="1207"/>
        <v>12Go Link</v>
      </c>
      <c r="E6505" s="2" t="s">
        <v>193</v>
      </c>
    </row>
    <row r="6506">
      <c r="A6506" s="2" t="s">
        <v>4651</v>
      </c>
      <c r="B6506" s="2" t="s">
        <v>4651</v>
      </c>
      <c r="C6506" s="2" t="s">
        <v>5917</v>
      </c>
      <c r="D6506" s="3" t="str">
        <f t="shared" ref="D6506:D6508" si="1208">HYPERLINK("https://12go.asia/en/travel/Damofalls-Transfer/Harare-Robert-Gabriel-Mugabe-Airport", "12Go Link")</f>
        <v>12Go Link</v>
      </c>
      <c r="E6506" s="2" t="s">
        <v>191</v>
      </c>
    </row>
    <row r="6507">
      <c r="A6507" s="2" t="s">
        <v>4651</v>
      </c>
      <c r="B6507" s="2" t="s">
        <v>4651</v>
      </c>
      <c r="C6507" s="2" t="s">
        <v>5917</v>
      </c>
      <c r="D6507" s="3" t="str">
        <f t="shared" si="1208"/>
        <v>12Go Link</v>
      </c>
      <c r="E6507" s="2" t="s">
        <v>192</v>
      </c>
    </row>
    <row r="6508">
      <c r="A6508" s="2" t="s">
        <v>4651</v>
      </c>
      <c r="B6508" s="2" t="s">
        <v>4651</v>
      </c>
      <c r="C6508" s="2" t="s">
        <v>5917</v>
      </c>
      <c r="D6508" s="3" t="str">
        <f t="shared" si="1208"/>
        <v>12Go Link</v>
      </c>
      <c r="E6508" s="2" t="s">
        <v>193</v>
      </c>
    </row>
    <row r="6509">
      <c r="A6509" s="2" t="s">
        <v>4651</v>
      </c>
      <c r="B6509" s="2" t="s">
        <v>4651</v>
      </c>
      <c r="C6509" s="2" t="s">
        <v>5918</v>
      </c>
      <c r="D6509" s="3" t="str">
        <f t="shared" ref="D6509:D6511" si="1209">HYPERLINK("https://12go.asia/en/travel/Glen-Norah-Transfer/Harare-Robert-Gabriel-Mugabe-Airport", "12Go Link")</f>
        <v>12Go Link</v>
      </c>
      <c r="E6509" s="2" t="s">
        <v>191</v>
      </c>
    </row>
    <row r="6510">
      <c r="A6510" s="2" t="s">
        <v>4651</v>
      </c>
      <c r="B6510" s="2" t="s">
        <v>4651</v>
      </c>
      <c r="C6510" s="2" t="s">
        <v>5918</v>
      </c>
      <c r="D6510" s="3" t="str">
        <f t="shared" si="1209"/>
        <v>12Go Link</v>
      </c>
      <c r="E6510" s="2" t="s">
        <v>192</v>
      </c>
    </row>
    <row r="6511">
      <c r="A6511" s="2" t="s">
        <v>4651</v>
      </c>
      <c r="B6511" s="2" t="s">
        <v>4651</v>
      </c>
      <c r="C6511" s="2" t="s">
        <v>5918</v>
      </c>
      <c r="D6511" s="3" t="str">
        <f t="shared" si="1209"/>
        <v>12Go Link</v>
      </c>
      <c r="E6511" s="2" t="s">
        <v>193</v>
      </c>
    </row>
    <row r="6512">
      <c r="A6512" s="2" t="s">
        <v>4651</v>
      </c>
      <c r="B6512" s="2" t="s">
        <v>4651</v>
      </c>
      <c r="C6512" s="2" t="s">
        <v>5919</v>
      </c>
      <c r="D6512" s="3" t="str">
        <f t="shared" ref="D6512:D6514" si="1210">HYPERLINK("https://12go.asia/en/travel/Greendale-Transfer/Harare-Robert-Gabriel-Mugabe-Airport", "12Go Link")</f>
        <v>12Go Link</v>
      </c>
      <c r="E6512" s="2" t="s">
        <v>191</v>
      </c>
    </row>
    <row r="6513">
      <c r="A6513" s="2" t="s">
        <v>4651</v>
      </c>
      <c r="B6513" s="2" t="s">
        <v>4651</v>
      </c>
      <c r="C6513" s="2" t="s">
        <v>5919</v>
      </c>
      <c r="D6513" s="3" t="str">
        <f t="shared" si="1210"/>
        <v>12Go Link</v>
      </c>
      <c r="E6513" s="2" t="s">
        <v>192</v>
      </c>
    </row>
    <row r="6514">
      <c r="A6514" s="2" t="s">
        <v>4651</v>
      </c>
      <c r="B6514" s="2" t="s">
        <v>4651</v>
      </c>
      <c r="C6514" s="2" t="s">
        <v>5919</v>
      </c>
      <c r="D6514" s="3" t="str">
        <f t="shared" si="1210"/>
        <v>12Go Link</v>
      </c>
      <c r="E6514" s="2" t="s">
        <v>193</v>
      </c>
    </row>
    <row r="6515">
      <c r="A6515" s="2" t="s">
        <v>4651</v>
      </c>
      <c r="B6515" s="2" t="s">
        <v>4651</v>
      </c>
      <c r="C6515" s="2" t="s">
        <v>5920</v>
      </c>
      <c r="D6515" s="3" t="str">
        <f t="shared" ref="D6515:D6517" si="1211">HYPERLINK("https://12go.asia/en/travel/Greystone-Park-Transfer/Harare-Robert-Gabriel-Mugabe-Airport", "12Go Link")</f>
        <v>12Go Link</v>
      </c>
      <c r="E6515" s="2" t="s">
        <v>191</v>
      </c>
    </row>
    <row r="6516">
      <c r="A6516" s="2" t="s">
        <v>4651</v>
      </c>
      <c r="B6516" s="2" t="s">
        <v>4651</v>
      </c>
      <c r="C6516" s="2" t="s">
        <v>5920</v>
      </c>
      <c r="D6516" s="3" t="str">
        <f t="shared" si="1211"/>
        <v>12Go Link</v>
      </c>
      <c r="E6516" s="2" t="s">
        <v>192</v>
      </c>
    </row>
    <row r="6517">
      <c r="A6517" s="2" t="s">
        <v>4651</v>
      </c>
      <c r="B6517" s="2" t="s">
        <v>4651</v>
      </c>
      <c r="C6517" s="2" t="s">
        <v>5920</v>
      </c>
      <c r="D6517" s="3" t="str">
        <f t="shared" si="1211"/>
        <v>12Go Link</v>
      </c>
      <c r="E6517" s="2" t="s">
        <v>193</v>
      </c>
    </row>
    <row r="6518">
      <c r="A6518" s="2" t="s">
        <v>4651</v>
      </c>
      <c r="B6518" s="2" t="s">
        <v>4651</v>
      </c>
      <c r="C6518" s="2" t="s">
        <v>5921</v>
      </c>
      <c r="D6518" s="3" t="str">
        <f t="shared" ref="D6518:D6520" si="1212">HYPERLINK("https://12go.asia/en/travel/Harare-City-Center-Transfer/Harare-Robert-Gabriel-Mugabe-Airport", "12Go Link")</f>
        <v>12Go Link</v>
      </c>
      <c r="E6518" s="2" t="s">
        <v>191</v>
      </c>
    </row>
    <row r="6519">
      <c r="A6519" s="2" t="s">
        <v>4651</v>
      </c>
      <c r="B6519" s="2" t="s">
        <v>4651</v>
      </c>
      <c r="C6519" s="2" t="s">
        <v>5921</v>
      </c>
      <c r="D6519" s="3" t="str">
        <f t="shared" si="1212"/>
        <v>12Go Link</v>
      </c>
      <c r="E6519" s="2" t="s">
        <v>192</v>
      </c>
    </row>
    <row r="6520">
      <c r="A6520" s="2" t="s">
        <v>4651</v>
      </c>
      <c r="B6520" s="2" t="s">
        <v>4651</v>
      </c>
      <c r="C6520" s="2" t="s">
        <v>5921</v>
      </c>
      <c r="D6520" s="3" t="str">
        <f t="shared" si="1212"/>
        <v>12Go Link</v>
      </c>
      <c r="E6520" s="2" t="s">
        <v>193</v>
      </c>
    </row>
    <row r="6521">
      <c r="A6521" s="2" t="s">
        <v>4651</v>
      </c>
      <c r="B6521" s="2" t="s">
        <v>4651</v>
      </c>
      <c r="C6521" s="2" t="s">
        <v>5922</v>
      </c>
      <c r="D6521" s="3" t="str">
        <f t="shared" ref="D6521:D6523" si="1213">HYPERLINK("https://12go.asia/en/travel/Harare-Robert-Gabriel-Mugabe-Airport/Avondale-Transfer", "12Go Link")</f>
        <v>12Go Link</v>
      </c>
      <c r="E6521" s="2" t="s">
        <v>191</v>
      </c>
    </row>
    <row r="6522">
      <c r="A6522" s="2" t="s">
        <v>4651</v>
      </c>
      <c r="B6522" s="2" t="s">
        <v>4651</v>
      </c>
      <c r="C6522" s="2" t="s">
        <v>5922</v>
      </c>
      <c r="D6522" s="3" t="str">
        <f t="shared" si="1213"/>
        <v>12Go Link</v>
      </c>
      <c r="E6522" s="2" t="s">
        <v>192</v>
      </c>
    </row>
    <row r="6523">
      <c r="A6523" s="2" t="s">
        <v>4651</v>
      </c>
      <c r="B6523" s="2" t="s">
        <v>4651</v>
      </c>
      <c r="C6523" s="2" t="s">
        <v>5922</v>
      </c>
      <c r="D6523" s="3" t="str">
        <f t="shared" si="1213"/>
        <v>12Go Link</v>
      </c>
      <c r="E6523" s="2" t="s">
        <v>193</v>
      </c>
    </row>
    <row r="6524">
      <c r="A6524" s="2" t="s">
        <v>4651</v>
      </c>
      <c r="B6524" s="2" t="s">
        <v>4651</v>
      </c>
      <c r="C6524" s="2" t="s">
        <v>5923</v>
      </c>
      <c r="D6524" s="3" t="str">
        <f t="shared" ref="D6524:D6526" si="1214">HYPERLINK("https://12go.asia/en/travel/Harare-Robert-Gabriel-Mugabe-Airport/Borrowdale-Transfer", "12Go Link")</f>
        <v>12Go Link</v>
      </c>
      <c r="E6524" s="2" t="s">
        <v>191</v>
      </c>
    </row>
    <row r="6525">
      <c r="A6525" s="2" t="s">
        <v>4651</v>
      </c>
      <c r="B6525" s="2" t="s">
        <v>4651</v>
      </c>
      <c r="C6525" s="2" t="s">
        <v>5923</v>
      </c>
      <c r="D6525" s="3" t="str">
        <f t="shared" si="1214"/>
        <v>12Go Link</v>
      </c>
      <c r="E6525" s="2" t="s">
        <v>192</v>
      </c>
    </row>
    <row r="6526">
      <c r="A6526" s="2" t="s">
        <v>4651</v>
      </c>
      <c r="B6526" s="2" t="s">
        <v>4651</v>
      </c>
      <c r="C6526" s="2" t="s">
        <v>5923</v>
      </c>
      <c r="D6526" s="3" t="str">
        <f t="shared" si="1214"/>
        <v>12Go Link</v>
      </c>
      <c r="E6526" s="2" t="s">
        <v>193</v>
      </c>
    </row>
    <row r="6527">
      <c r="A6527" s="2" t="s">
        <v>4651</v>
      </c>
      <c r="B6527" s="2" t="s">
        <v>4651</v>
      </c>
      <c r="C6527" s="2" t="s">
        <v>5924</v>
      </c>
      <c r="D6527" s="3" t="str">
        <f t="shared" ref="D6527:D6529" si="1215">HYPERLINK("https://12go.asia/en/travel/Harare-Robert-Gabriel-Mugabe-Airport/Damofalls-Transfer", "12Go Link")</f>
        <v>12Go Link</v>
      </c>
      <c r="E6527" s="2" t="s">
        <v>191</v>
      </c>
    </row>
    <row r="6528">
      <c r="A6528" s="2" t="s">
        <v>4651</v>
      </c>
      <c r="B6528" s="2" t="s">
        <v>4651</v>
      </c>
      <c r="C6528" s="2" t="s">
        <v>5924</v>
      </c>
      <c r="D6528" s="3" t="str">
        <f t="shared" si="1215"/>
        <v>12Go Link</v>
      </c>
      <c r="E6528" s="2" t="s">
        <v>192</v>
      </c>
    </row>
    <row r="6529">
      <c r="A6529" s="2" t="s">
        <v>4651</v>
      </c>
      <c r="B6529" s="2" t="s">
        <v>4651</v>
      </c>
      <c r="C6529" s="2" t="s">
        <v>5924</v>
      </c>
      <c r="D6529" s="3" t="str">
        <f t="shared" si="1215"/>
        <v>12Go Link</v>
      </c>
      <c r="E6529" s="2" t="s">
        <v>193</v>
      </c>
    </row>
    <row r="6530">
      <c r="A6530" s="2" t="s">
        <v>4651</v>
      </c>
      <c r="B6530" s="2" t="s">
        <v>4651</v>
      </c>
      <c r="C6530" s="2" t="s">
        <v>5925</v>
      </c>
      <c r="D6530" s="3" t="str">
        <f t="shared" ref="D6530:D6532" si="1216">HYPERLINK("https://12go.asia/en/travel/Harare-Robert-Gabriel-Mugabe-Airport/Glen-Norah-Transfer", "12Go Link")</f>
        <v>12Go Link</v>
      </c>
      <c r="E6530" s="2" t="s">
        <v>191</v>
      </c>
    </row>
    <row r="6531">
      <c r="A6531" s="2" t="s">
        <v>4651</v>
      </c>
      <c r="B6531" s="2" t="s">
        <v>4651</v>
      </c>
      <c r="C6531" s="2" t="s">
        <v>5925</v>
      </c>
      <c r="D6531" s="3" t="str">
        <f t="shared" si="1216"/>
        <v>12Go Link</v>
      </c>
      <c r="E6531" s="2" t="s">
        <v>192</v>
      </c>
    </row>
    <row r="6532">
      <c r="A6532" s="2" t="s">
        <v>4651</v>
      </c>
      <c r="B6532" s="2" t="s">
        <v>4651</v>
      </c>
      <c r="C6532" s="2" t="s">
        <v>5925</v>
      </c>
      <c r="D6532" s="3" t="str">
        <f t="shared" si="1216"/>
        <v>12Go Link</v>
      </c>
      <c r="E6532" s="2" t="s">
        <v>193</v>
      </c>
    </row>
    <row r="6533">
      <c r="A6533" s="2" t="s">
        <v>4651</v>
      </c>
      <c r="B6533" s="2" t="s">
        <v>4651</v>
      </c>
      <c r="C6533" s="2" t="s">
        <v>5926</v>
      </c>
      <c r="D6533" s="3" t="str">
        <f t="shared" ref="D6533:D6535" si="1217">HYPERLINK("https://12go.asia/en/travel/Harare-Robert-Gabriel-Mugabe-Airport/Greendale-Transfer", "12Go Link")</f>
        <v>12Go Link</v>
      </c>
      <c r="E6533" s="2" t="s">
        <v>191</v>
      </c>
    </row>
    <row r="6534">
      <c r="A6534" s="2" t="s">
        <v>4651</v>
      </c>
      <c r="B6534" s="2" t="s">
        <v>4651</v>
      </c>
      <c r="C6534" s="2" t="s">
        <v>5926</v>
      </c>
      <c r="D6534" s="3" t="str">
        <f t="shared" si="1217"/>
        <v>12Go Link</v>
      </c>
      <c r="E6534" s="2" t="s">
        <v>192</v>
      </c>
    </row>
    <row r="6535">
      <c r="A6535" s="2" t="s">
        <v>4651</v>
      </c>
      <c r="B6535" s="2" t="s">
        <v>4651</v>
      </c>
      <c r="C6535" s="2" t="s">
        <v>5926</v>
      </c>
      <c r="D6535" s="3" t="str">
        <f t="shared" si="1217"/>
        <v>12Go Link</v>
      </c>
      <c r="E6535" s="2" t="s">
        <v>193</v>
      </c>
    </row>
    <row r="6536">
      <c r="A6536" s="2" t="s">
        <v>4651</v>
      </c>
      <c r="B6536" s="2" t="s">
        <v>4651</v>
      </c>
      <c r="C6536" s="2" t="s">
        <v>5927</v>
      </c>
      <c r="D6536" s="3" t="str">
        <f t="shared" ref="D6536:D6538" si="1218">HYPERLINK("https://12go.asia/en/travel/Harare-Robert-Gabriel-Mugabe-Airport/Greystone-Park-Transfer", "12Go Link")</f>
        <v>12Go Link</v>
      </c>
      <c r="E6536" s="2" t="s">
        <v>191</v>
      </c>
    </row>
    <row r="6537">
      <c r="A6537" s="2" t="s">
        <v>4651</v>
      </c>
      <c r="B6537" s="2" t="s">
        <v>4651</v>
      </c>
      <c r="C6537" s="2" t="s">
        <v>5927</v>
      </c>
      <c r="D6537" s="3" t="str">
        <f t="shared" si="1218"/>
        <v>12Go Link</v>
      </c>
      <c r="E6537" s="2" t="s">
        <v>192</v>
      </c>
    </row>
    <row r="6538">
      <c r="A6538" s="2" t="s">
        <v>4651</v>
      </c>
      <c r="B6538" s="2" t="s">
        <v>4651</v>
      </c>
      <c r="C6538" s="2" t="s">
        <v>5927</v>
      </c>
      <c r="D6538" s="3" t="str">
        <f t="shared" si="1218"/>
        <v>12Go Link</v>
      </c>
      <c r="E6538" s="2" t="s">
        <v>193</v>
      </c>
    </row>
    <row r="6539">
      <c r="A6539" s="2" t="s">
        <v>4651</v>
      </c>
      <c r="B6539" s="2" t="s">
        <v>4651</v>
      </c>
      <c r="C6539" s="2" t="s">
        <v>5928</v>
      </c>
      <c r="D6539" s="3" t="str">
        <f t="shared" ref="D6539:D6541" si="1219">HYPERLINK("https://12go.asia/en/travel/Harare-Robert-Gabriel-Mugabe-Airport/Harare-City-Center-Transfer", "12Go Link")</f>
        <v>12Go Link</v>
      </c>
      <c r="E6539" s="2" t="s">
        <v>191</v>
      </c>
    </row>
    <row r="6540">
      <c r="A6540" s="2" t="s">
        <v>4651</v>
      </c>
      <c r="B6540" s="2" t="s">
        <v>4651</v>
      </c>
      <c r="C6540" s="2" t="s">
        <v>5928</v>
      </c>
      <c r="D6540" s="3" t="str">
        <f t="shared" si="1219"/>
        <v>12Go Link</v>
      </c>
      <c r="E6540" s="2" t="s">
        <v>192</v>
      </c>
    </row>
    <row r="6541">
      <c r="A6541" s="2" t="s">
        <v>4651</v>
      </c>
      <c r="B6541" s="2" t="s">
        <v>4651</v>
      </c>
      <c r="C6541" s="2" t="s">
        <v>5928</v>
      </c>
      <c r="D6541" s="3" t="str">
        <f t="shared" si="1219"/>
        <v>12Go Link</v>
      </c>
      <c r="E6541" s="2" t="s">
        <v>193</v>
      </c>
    </row>
    <row r="6542">
      <c r="A6542" s="2" t="s">
        <v>4651</v>
      </c>
      <c r="B6542" s="2" t="s">
        <v>4651</v>
      </c>
      <c r="C6542" s="2" t="s">
        <v>5929</v>
      </c>
      <c r="D6542" s="3" t="str">
        <f t="shared" ref="D6542:D6544" si="1220">HYPERLINK("https://12go.asia/en/travel/Harare-Robert-Gabriel-Mugabe-Airport/Harare-South-Transfer", "12Go Link")</f>
        <v>12Go Link</v>
      </c>
      <c r="E6542" s="2" t="s">
        <v>191</v>
      </c>
    </row>
    <row r="6543">
      <c r="A6543" s="2" t="s">
        <v>4651</v>
      </c>
      <c r="B6543" s="2" t="s">
        <v>4651</v>
      </c>
      <c r="C6543" s="2" t="s">
        <v>5929</v>
      </c>
      <c r="D6543" s="3" t="str">
        <f t="shared" si="1220"/>
        <v>12Go Link</v>
      </c>
      <c r="E6543" s="2" t="s">
        <v>192</v>
      </c>
    </row>
    <row r="6544">
      <c r="A6544" s="2" t="s">
        <v>4651</v>
      </c>
      <c r="B6544" s="2" t="s">
        <v>4651</v>
      </c>
      <c r="C6544" s="2" t="s">
        <v>5929</v>
      </c>
      <c r="D6544" s="3" t="str">
        <f t="shared" si="1220"/>
        <v>12Go Link</v>
      </c>
      <c r="E6544" s="2" t="s">
        <v>193</v>
      </c>
    </row>
    <row r="6545">
      <c r="A6545" s="2" t="s">
        <v>4651</v>
      </c>
      <c r="B6545" s="2" t="s">
        <v>4651</v>
      </c>
      <c r="C6545" s="2" t="s">
        <v>5930</v>
      </c>
      <c r="D6545" s="3" t="str">
        <f t="shared" ref="D6545:D6547" si="1221">HYPERLINK("https://12go.asia/en/travel/Harare-Robert-Gabriel-Mugabe-Airport/Highfields-Transfer", "12Go Link")</f>
        <v>12Go Link</v>
      </c>
      <c r="E6545" s="2" t="s">
        <v>191</v>
      </c>
    </row>
    <row r="6546">
      <c r="A6546" s="2" t="s">
        <v>4651</v>
      </c>
      <c r="B6546" s="2" t="s">
        <v>4651</v>
      </c>
      <c r="C6546" s="2" t="s">
        <v>5930</v>
      </c>
      <c r="D6546" s="3" t="str">
        <f t="shared" si="1221"/>
        <v>12Go Link</v>
      </c>
      <c r="E6546" s="2" t="s">
        <v>192</v>
      </c>
    </row>
    <row r="6547">
      <c r="A6547" s="2" t="s">
        <v>4651</v>
      </c>
      <c r="B6547" s="2" t="s">
        <v>4651</v>
      </c>
      <c r="C6547" s="2" t="s">
        <v>5930</v>
      </c>
      <c r="D6547" s="3" t="str">
        <f t="shared" si="1221"/>
        <v>12Go Link</v>
      </c>
      <c r="E6547" s="2" t="s">
        <v>193</v>
      </c>
    </row>
    <row r="6548">
      <c r="A6548" s="2" t="s">
        <v>4651</v>
      </c>
      <c r="B6548" s="2" t="s">
        <v>4651</v>
      </c>
      <c r="C6548" s="2" t="s">
        <v>5931</v>
      </c>
      <c r="D6548" s="3" t="str">
        <f t="shared" ref="D6548:D6550" si="1222">HYPERLINK("https://12go.asia/en/travel/Harare-Robert-Gabriel-Mugabe-Airport/Madokero-Estates-Transfer", "12Go Link")</f>
        <v>12Go Link</v>
      </c>
      <c r="E6548" s="2" t="s">
        <v>191</v>
      </c>
    </row>
    <row r="6549">
      <c r="A6549" s="2" t="s">
        <v>4651</v>
      </c>
      <c r="B6549" s="2" t="s">
        <v>4651</v>
      </c>
      <c r="C6549" s="2" t="s">
        <v>5931</v>
      </c>
      <c r="D6549" s="3" t="str">
        <f t="shared" si="1222"/>
        <v>12Go Link</v>
      </c>
      <c r="E6549" s="2" t="s">
        <v>192</v>
      </c>
    </row>
    <row r="6550">
      <c r="A6550" s="2" t="s">
        <v>4651</v>
      </c>
      <c r="B6550" s="2" t="s">
        <v>4651</v>
      </c>
      <c r="C6550" s="2" t="s">
        <v>5931</v>
      </c>
      <c r="D6550" s="3" t="str">
        <f t="shared" si="1222"/>
        <v>12Go Link</v>
      </c>
      <c r="E6550" s="2" t="s">
        <v>193</v>
      </c>
    </row>
    <row r="6551">
      <c r="A6551" s="2" t="s">
        <v>4651</v>
      </c>
      <c r="B6551" s="2" t="s">
        <v>4651</v>
      </c>
      <c r="C6551" s="2" t="s">
        <v>5932</v>
      </c>
      <c r="D6551" s="3" t="str">
        <f t="shared" ref="D6551:D6553" si="1223">HYPERLINK("https://12go.asia/en/travel/Harare-Robert-Gabriel-Mugabe-Airport/Malbereign-Transfer", "12Go Link")</f>
        <v>12Go Link</v>
      </c>
      <c r="E6551" s="2" t="s">
        <v>191</v>
      </c>
    </row>
    <row r="6552">
      <c r="A6552" s="2" t="s">
        <v>4651</v>
      </c>
      <c r="B6552" s="2" t="s">
        <v>4651</v>
      </c>
      <c r="C6552" s="2" t="s">
        <v>5932</v>
      </c>
      <c r="D6552" s="3" t="str">
        <f t="shared" si="1223"/>
        <v>12Go Link</v>
      </c>
      <c r="E6552" s="2" t="s">
        <v>192</v>
      </c>
    </row>
    <row r="6553">
      <c r="A6553" s="2" t="s">
        <v>4651</v>
      </c>
      <c r="B6553" s="2" t="s">
        <v>4651</v>
      </c>
      <c r="C6553" s="2" t="s">
        <v>5932</v>
      </c>
      <c r="D6553" s="3" t="str">
        <f t="shared" si="1223"/>
        <v>12Go Link</v>
      </c>
      <c r="E6553" s="2" t="s">
        <v>193</v>
      </c>
    </row>
    <row r="6554">
      <c r="A6554" s="2" t="s">
        <v>4651</v>
      </c>
      <c r="B6554" s="2" t="s">
        <v>4651</v>
      </c>
      <c r="C6554" s="2" t="s">
        <v>5933</v>
      </c>
      <c r="D6554" s="3" t="str">
        <f t="shared" ref="D6554:D6556" si="1224">HYPERLINK("https://12go.asia/en/travel/Harare-Robert-Gabriel-Mugabe-Airport/Marlborough-Transfer", "12Go Link")</f>
        <v>12Go Link</v>
      </c>
      <c r="E6554" s="2" t="s">
        <v>191</v>
      </c>
    </row>
    <row r="6555">
      <c r="A6555" s="2" t="s">
        <v>4651</v>
      </c>
      <c r="B6555" s="2" t="s">
        <v>4651</v>
      </c>
      <c r="C6555" s="2" t="s">
        <v>5933</v>
      </c>
      <c r="D6555" s="3" t="str">
        <f t="shared" si="1224"/>
        <v>12Go Link</v>
      </c>
      <c r="E6555" s="2" t="s">
        <v>192</v>
      </c>
    </row>
    <row r="6556">
      <c r="A6556" s="2" t="s">
        <v>4651</v>
      </c>
      <c r="B6556" s="2" t="s">
        <v>4651</v>
      </c>
      <c r="C6556" s="2" t="s">
        <v>5933</v>
      </c>
      <c r="D6556" s="3" t="str">
        <f t="shared" si="1224"/>
        <v>12Go Link</v>
      </c>
      <c r="E6556" s="2" t="s">
        <v>193</v>
      </c>
    </row>
    <row r="6557">
      <c r="A6557" s="2" t="s">
        <v>4651</v>
      </c>
      <c r="B6557" s="2" t="s">
        <v>4651</v>
      </c>
      <c r="C6557" s="2" t="s">
        <v>5934</v>
      </c>
      <c r="D6557" s="3" t="str">
        <f t="shared" ref="D6557:D6559" si="1225">HYPERLINK("https://12go.asia/en/travel/Harare-Robert-Gabriel-Mugabe-Airport/Mbare-Transfer", "12Go Link")</f>
        <v>12Go Link</v>
      </c>
      <c r="E6557" s="2" t="s">
        <v>191</v>
      </c>
    </row>
    <row r="6558">
      <c r="A6558" s="2" t="s">
        <v>4651</v>
      </c>
      <c r="B6558" s="2" t="s">
        <v>4651</v>
      </c>
      <c r="C6558" s="2" t="s">
        <v>5934</v>
      </c>
      <c r="D6558" s="3" t="str">
        <f t="shared" si="1225"/>
        <v>12Go Link</v>
      </c>
      <c r="E6558" s="2" t="s">
        <v>192</v>
      </c>
    </row>
    <row r="6559">
      <c r="A6559" s="2" t="s">
        <v>4651</v>
      </c>
      <c r="B6559" s="2" t="s">
        <v>4651</v>
      </c>
      <c r="C6559" s="2" t="s">
        <v>5934</v>
      </c>
      <c r="D6559" s="3" t="str">
        <f t="shared" si="1225"/>
        <v>12Go Link</v>
      </c>
      <c r="E6559" s="2" t="s">
        <v>193</v>
      </c>
    </row>
    <row r="6560">
      <c r="A6560" s="2" t="s">
        <v>4651</v>
      </c>
      <c r="B6560" s="2" t="s">
        <v>4651</v>
      </c>
      <c r="C6560" s="2" t="s">
        <v>5935</v>
      </c>
      <c r="D6560" s="3" t="str">
        <f t="shared" ref="D6560:D6562" si="1226">HYPERLINK("https://12go.asia/en/travel/Harare-Robert-Gabriel-Mugabe-Airport/Mount-Hampden-Junction-Transfer", "12Go Link")</f>
        <v>12Go Link</v>
      </c>
      <c r="E6560" s="2" t="s">
        <v>191</v>
      </c>
    </row>
    <row r="6561">
      <c r="A6561" s="2" t="s">
        <v>4651</v>
      </c>
      <c r="B6561" s="2" t="s">
        <v>4651</v>
      </c>
      <c r="C6561" s="2" t="s">
        <v>5935</v>
      </c>
      <c r="D6561" s="3" t="str">
        <f t="shared" si="1226"/>
        <v>12Go Link</v>
      </c>
      <c r="E6561" s="2" t="s">
        <v>192</v>
      </c>
    </row>
    <row r="6562">
      <c r="A6562" s="2" t="s">
        <v>4651</v>
      </c>
      <c r="B6562" s="2" t="s">
        <v>4651</v>
      </c>
      <c r="C6562" s="2" t="s">
        <v>5935</v>
      </c>
      <c r="D6562" s="3" t="str">
        <f t="shared" si="1226"/>
        <v>12Go Link</v>
      </c>
      <c r="E6562" s="2" t="s">
        <v>193</v>
      </c>
    </row>
    <row r="6563">
      <c r="A6563" s="2" t="s">
        <v>4651</v>
      </c>
      <c r="B6563" s="2" t="s">
        <v>4651</v>
      </c>
      <c r="C6563" s="2" t="s">
        <v>5936</v>
      </c>
      <c r="D6563" s="3" t="str">
        <f t="shared" ref="D6563:D6565" si="1227">HYPERLINK("https://12go.asia/en/travel/Harare-Robert-Gabriel-Mugabe-Airport/Mufakose-Transfer", "12Go Link")</f>
        <v>12Go Link</v>
      </c>
      <c r="E6563" s="2" t="s">
        <v>191</v>
      </c>
    </row>
    <row r="6564">
      <c r="A6564" s="2" t="s">
        <v>4651</v>
      </c>
      <c r="B6564" s="2" t="s">
        <v>4651</v>
      </c>
      <c r="C6564" s="2" t="s">
        <v>5936</v>
      </c>
      <c r="D6564" s="3" t="str">
        <f t="shared" si="1227"/>
        <v>12Go Link</v>
      </c>
      <c r="E6564" s="2" t="s">
        <v>192</v>
      </c>
    </row>
    <row r="6565">
      <c r="A6565" s="2" t="s">
        <v>4651</v>
      </c>
      <c r="B6565" s="2" t="s">
        <v>4651</v>
      </c>
      <c r="C6565" s="2" t="s">
        <v>5936</v>
      </c>
      <c r="D6565" s="3" t="str">
        <f t="shared" si="1227"/>
        <v>12Go Link</v>
      </c>
      <c r="E6565" s="2" t="s">
        <v>193</v>
      </c>
    </row>
    <row r="6566">
      <c r="A6566" s="2" t="s">
        <v>4651</v>
      </c>
      <c r="B6566" s="2" t="s">
        <v>4651</v>
      </c>
      <c r="C6566" s="2" t="s">
        <v>5937</v>
      </c>
      <c r="D6566" s="3" t="str">
        <f t="shared" ref="D6566:D6568" si="1228">HYPERLINK("https://12go.asia/en/travel/Harare-Robert-Gabriel-Mugabe-Airport/Tynwald-Transfer", "12Go Link")</f>
        <v>12Go Link</v>
      </c>
      <c r="E6566" s="2" t="s">
        <v>191</v>
      </c>
    </row>
    <row r="6567">
      <c r="A6567" s="2" t="s">
        <v>4651</v>
      </c>
      <c r="B6567" s="2" t="s">
        <v>4651</v>
      </c>
      <c r="C6567" s="2" t="s">
        <v>5937</v>
      </c>
      <c r="D6567" s="3" t="str">
        <f t="shared" si="1228"/>
        <v>12Go Link</v>
      </c>
      <c r="E6567" s="2" t="s">
        <v>192</v>
      </c>
    </row>
    <row r="6568">
      <c r="A6568" s="2" t="s">
        <v>4651</v>
      </c>
      <c r="B6568" s="2" t="s">
        <v>4651</v>
      </c>
      <c r="C6568" s="2" t="s">
        <v>5937</v>
      </c>
      <c r="D6568" s="3" t="str">
        <f t="shared" si="1228"/>
        <v>12Go Link</v>
      </c>
      <c r="E6568" s="2" t="s">
        <v>193</v>
      </c>
    </row>
    <row r="6569">
      <c r="A6569" s="2" t="s">
        <v>4651</v>
      </c>
      <c r="B6569" s="2" t="s">
        <v>4651</v>
      </c>
      <c r="C6569" s="2" t="s">
        <v>5938</v>
      </c>
      <c r="D6569" s="3" t="str">
        <f t="shared" ref="D6569:D6571" si="1229">HYPERLINK("https://12go.asia/en/travel/Harare-Robert-Gabriel-Mugabe-Airport/Warren-Park-Transfer", "12Go Link")</f>
        <v>12Go Link</v>
      </c>
      <c r="E6569" s="2" t="s">
        <v>191</v>
      </c>
    </row>
    <row r="6570">
      <c r="A6570" s="2" t="s">
        <v>4651</v>
      </c>
      <c r="B6570" s="2" t="s">
        <v>4651</v>
      </c>
      <c r="C6570" s="2" t="s">
        <v>5938</v>
      </c>
      <c r="D6570" s="3" t="str">
        <f t="shared" si="1229"/>
        <v>12Go Link</v>
      </c>
      <c r="E6570" s="2" t="s">
        <v>192</v>
      </c>
    </row>
    <row r="6571">
      <c r="A6571" s="2" t="s">
        <v>4651</v>
      </c>
      <c r="B6571" s="2" t="s">
        <v>4651</v>
      </c>
      <c r="C6571" s="2" t="s">
        <v>5938</v>
      </c>
      <c r="D6571" s="3" t="str">
        <f t="shared" si="1229"/>
        <v>12Go Link</v>
      </c>
      <c r="E6571" s="2" t="s">
        <v>193</v>
      </c>
    </row>
    <row r="6572">
      <c r="A6572" s="2" t="s">
        <v>4651</v>
      </c>
      <c r="B6572" s="2" t="s">
        <v>4651</v>
      </c>
      <c r="C6572" s="2" t="s">
        <v>5939</v>
      </c>
      <c r="D6572" s="3" t="str">
        <f t="shared" ref="D6572:D6574" si="1230">HYPERLINK("https://12go.asia/en/travel/Harare-Robert-Gabriel-Mugabe-Airport/Westgate-Transfer", "12Go Link")</f>
        <v>12Go Link</v>
      </c>
      <c r="E6572" s="2" t="s">
        <v>191</v>
      </c>
    </row>
    <row r="6573">
      <c r="A6573" s="2" t="s">
        <v>4651</v>
      </c>
      <c r="B6573" s="2" t="s">
        <v>4651</v>
      </c>
      <c r="C6573" s="2" t="s">
        <v>5939</v>
      </c>
      <c r="D6573" s="3" t="str">
        <f t="shared" si="1230"/>
        <v>12Go Link</v>
      </c>
      <c r="E6573" s="2" t="s">
        <v>192</v>
      </c>
    </row>
    <row r="6574">
      <c r="A6574" s="2" t="s">
        <v>4651</v>
      </c>
      <c r="B6574" s="2" t="s">
        <v>4651</v>
      </c>
      <c r="C6574" s="2" t="s">
        <v>5939</v>
      </c>
      <c r="D6574" s="3" t="str">
        <f t="shared" si="1230"/>
        <v>12Go Link</v>
      </c>
      <c r="E6574" s="2" t="s">
        <v>193</v>
      </c>
    </row>
    <row r="6575">
      <c r="A6575" s="2" t="s">
        <v>4651</v>
      </c>
      <c r="B6575" s="2" t="s">
        <v>4651</v>
      </c>
      <c r="C6575" s="2" t="s">
        <v>5940</v>
      </c>
      <c r="D6575" s="3" t="str">
        <f t="shared" ref="D6575:D6577" si="1231">HYPERLINK("https://12go.asia/en/travel/Harare-South-Transfer/Harare-Robert-Gabriel-Mugabe-Airport", "12Go Link")</f>
        <v>12Go Link</v>
      </c>
      <c r="E6575" s="2" t="s">
        <v>191</v>
      </c>
    </row>
    <row r="6576">
      <c r="A6576" s="2" t="s">
        <v>4651</v>
      </c>
      <c r="B6576" s="2" t="s">
        <v>4651</v>
      </c>
      <c r="C6576" s="2" t="s">
        <v>5940</v>
      </c>
      <c r="D6576" s="3" t="str">
        <f t="shared" si="1231"/>
        <v>12Go Link</v>
      </c>
      <c r="E6576" s="2" t="s">
        <v>192</v>
      </c>
    </row>
    <row r="6577">
      <c r="A6577" s="2" t="s">
        <v>4651</v>
      </c>
      <c r="B6577" s="2" t="s">
        <v>4651</v>
      </c>
      <c r="C6577" s="2" t="s">
        <v>5940</v>
      </c>
      <c r="D6577" s="3" t="str">
        <f t="shared" si="1231"/>
        <v>12Go Link</v>
      </c>
      <c r="E6577" s="2" t="s">
        <v>193</v>
      </c>
    </row>
    <row r="6578">
      <c r="A6578" s="2" t="s">
        <v>4651</v>
      </c>
      <c r="B6578" s="2" t="s">
        <v>4651</v>
      </c>
      <c r="C6578" s="2" t="s">
        <v>5941</v>
      </c>
      <c r="D6578" s="3" t="str">
        <f t="shared" ref="D6578:D6580" si="1232">HYPERLINK("https://12go.asia/en/travel/Highfields-Transfer/Harare-Robert-Gabriel-Mugabe-Airport", "12Go Link")</f>
        <v>12Go Link</v>
      </c>
      <c r="E6578" s="2" t="s">
        <v>191</v>
      </c>
    </row>
    <row r="6579">
      <c r="A6579" s="2" t="s">
        <v>4651</v>
      </c>
      <c r="B6579" s="2" t="s">
        <v>4651</v>
      </c>
      <c r="C6579" s="2" t="s">
        <v>5941</v>
      </c>
      <c r="D6579" s="3" t="str">
        <f t="shared" si="1232"/>
        <v>12Go Link</v>
      </c>
      <c r="E6579" s="2" t="s">
        <v>192</v>
      </c>
    </row>
    <row r="6580">
      <c r="A6580" s="2" t="s">
        <v>4651</v>
      </c>
      <c r="B6580" s="2" t="s">
        <v>4651</v>
      </c>
      <c r="C6580" s="2" t="s">
        <v>5941</v>
      </c>
      <c r="D6580" s="3" t="str">
        <f t="shared" si="1232"/>
        <v>12Go Link</v>
      </c>
      <c r="E6580" s="2" t="s">
        <v>193</v>
      </c>
    </row>
    <row r="6581">
      <c r="A6581" s="2" t="s">
        <v>4651</v>
      </c>
      <c r="B6581" s="2" t="s">
        <v>4651</v>
      </c>
      <c r="C6581" s="2" t="s">
        <v>5942</v>
      </c>
      <c r="D6581" s="3" t="str">
        <f t="shared" ref="D6581:D6583" si="1233">HYPERLINK("https://12go.asia/en/travel/Madokero-Estates-Transfer/Harare-Robert-Gabriel-Mugabe-Airport", "12Go Link")</f>
        <v>12Go Link</v>
      </c>
      <c r="E6581" s="2" t="s">
        <v>191</v>
      </c>
    </row>
    <row r="6582">
      <c r="A6582" s="2" t="s">
        <v>4651</v>
      </c>
      <c r="B6582" s="2" t="s">
        <v>4651</v>
      </c>
      <c r="C6582" s="2" t="s">
        <v>5942</v>
      </c>
      <c r="D6582" s="3" t="str">
        <f t="shared" si="1233"/>
        <v>12Go Link</v>
      </c>
      <c r="E6582" s="2" t="s">
        <v>192</v>
      </c>
    </row>
    <row r="6583">
      <c r="A6583" s="2" t="s">
        <v>4651</v>
      </c>
      <c r="B6583" s="2" t="s">
        <v>4651</v>
      </c>
      <c r="C6583" s="2" t="s">
        <v>5942</v>
      </c>
      <c r="D6583" s="3" t="str">
        <f t="shared" si="1233"/>
        <v>12Go Link</v>
      </c>
      <c r="E6583" s="2" t="s">
        <v>193</v>
      </c>
    </row>
    <row r="6584">
      <c r="A6584" s="2" t="s">
        <v>4651</v>
      </c>
      <c r="B6584" s="2" t="s">
        <v>4651</v>
      </c>
      <c r="C6584" s="2" t="s">
        <v>5943</v>
      </c>
      <c r="D6584" s="3" t="str">
        <f t="shared" ref="D6584:D6586" si="1234">HYPERLINK("https://12go.asia/en/travel/Malbereign-Transfer/Harare-Robert-Gabriel-Mugabe-Airport", "12Go Link")</f>
        <v>12Go Link</v>
      </c>
      <c r="E6584" s="2" t="s">
        <v>191</v>
      </c>
    </row>
    <row r="6585">
      <c r="A6585" s="2" t="s">
        <v>4651</v>
      </c>
      <c r="B6585" s="2" t="s">
        <v>4651</v>
      </c>
      <c r="C6585" s="2" t="s">
        <v>5943</v>
      </c>
      <c r="D6585" s="3" t="str">
        <f t="shared" si="1234"/>
        <v>12Go Link</v>
      </c>
      <c r="E6585" s="2" t="s">
        <v>192</v>
      </c>
    </row>
    <row r="6586">
      <c r="A6586" s="2" t="s">
        <v>4651</v>
      </c>
      <c r="B6586" s="2" t="s">
        <v>4651</v>
      </c>
      <c r="C6586" s="2" t="s">
        <v>5943</v>
      </c>
      <c r="D6586" s="3" t="str">
        <f t="shared" si="1234"/>
        <v>12Go Link</v>
      </c>
      <c r="E6586" s="2" t="s">
        <v>193</v>
      </c>
    </row>
    <row r="6587">
      <c r="A6587" s="2" t="s">
        <v>4651</v>
      </c>
      <c r="B6587" s="2" t="s">
        <v>4651</v>
      </c>
      <c r="C6587" s="2" t="s">
        <v>5944</v>
      </c>
      <c r="D6587" s="3" t="str">
        <f t="shared" ref="D6587:D6589" si="1235">HYPERLINK("https://12go.asia/en/travel/Marlborough-Transfer/Harare-Robert-Gabriel-Mugabe-Airport", "12Go Link")</f>
        <v>12Go Link</v>
      </c>
      <c r="E6587" s="2" t="s">
        <v>191</v>
      </c>
    </row>
    <row r="6588">
      <c r="A6588" s="2" t="s">
        <v>4651</v>
      </c>
      <c r="B6588" s="2" t="s">
        <v>4651</v>
      </c>
      <c r="C6588" s="2" t="s">
        <v>5944</v>
      </c>
      <c r="D6588" s="3" t="str">
        <f t="shared" si="1235"/>
        <v>12Go Link</v>
      </c>
      <c r="E6588" s="2" t="s">
        <v>192</v>
      </c>
    </row>
    <row r="6589">
      <c r="A6589" s="2" t="s">
        <v>4651</v>
      </c>
      <c r="B6589" s="2" t="s">
        <v>4651</v>
      </c>
      <c r="C6589" s="2" t="s">
        <v>5944</v>
      </c>
      <c r="D6589" s="3" t="str">
        <f t="shared" si="1235"/>
        <v>12Go Link</v>
      </c>
      <c r="E6589" s="2" t="s">
        <v>193</v>
      </c>
    </row>
    <row r="6590">
      <c r="A6590" s="2" t="s">
        <v>4651</v>
      </c>
      <c r="B6590" s="2" t="s">
        <v>4651</v>
      </c>
      <c r="C6590" s="2" t="s">
        <v>5945</v>
      </c>
      <c r="D6590" s="3" t="str">
        <f t="shared" ref="D6590:D6592" si="1236">HYPERLINK("https://12go.asia/en/travel/Mbare-Transfer/Harare-Robert-Gabriel-Mugabe-Airport", "12Go Link")</f>
        <v>12Go Link</v>
      </c>
      <c r="E6590" s="2" t="s">
        <v>191</v>
      </c>
    </row>
    <row r="6591">
      <c r="A6591" s="2" t="s">
        <v>4651</v>
      </c>
      <c r="B6591" s="2" t="s">
        <v>4651</v>
      </c>
      <c r="C6591" s="2" t="s">
        <v>5945</v>
      </c>
      <c r="D6591" s="3" t="str">
        <f t="shared" si="1236"/>
        <v>12Go Link</v>
      </c>
      <c r="E6591" s="2" t="s">
        <v>192</v>
      </c>
    </row>
    <row r="6592">
      <c r="A6592" s="2" t="s">
        <v>4651</v>
      </c>
      <c r="B6592" s="2" t="s">
        <v>4651</v>
      </c>
      <c r="C6592" s="2" t="s">
        <v>5945</v>
      </c>
      <c r="D6592" s="3" t="str">
        <f t="shared" si="1236"/>
        <v>12Go Link</v>
      </c>
      <c r="E6592" s="2" t="s">
        <v>193</v>
      </c>
    </row>
    <row r="6593">
      <c r="A6593" s="2" t="s">
        <v>4651</v>
      </c>
      <c r="B6593" s="2" t="s">
        <v>4651</v>
      </c>
      <c r="C6593" s="2" t="s">
        <v>5946</v>
      </c>
      <c r="D6593" s="3" t="str">
        <f t="shared" ref="D6593:D6595" si="1237">HYPERLINK("https://12go.asia/en/travel/Mount-Hampden-Junction-Transfer/Harare-Robert-Gabriel-Mugabe-Airport", "12Go Link")</f>
        <v>12Go Link</v>
      </c>
      <c r="E6593" s="2" t="s">
        <v>191</v>
      </c>
    </row>
    <row r="6594">
      <c r="A6594" s="2" t="s">
        <v>4651</v>
      </c>
      <c r="B6594" s="2" t="s">
        <v>4651</v>
      </c>
      <c r="C6594" s="2" t="s">
        <v>5946</v>
      </c>
      <c r="D6594" s="3" t="str">
        <f t="shared" si="1237"/>
        <v>12Go Link</v>
      </c>
      <c r="E6594" s="2" t="s">
        <v>192</v>
      </c>
    </row>
    <row r="6595">
      <c r="A6595" s="2" t="s">
        <v>4651</v>
      </c>
      <c r="B6595" s="2" t="s">
        <v>4651</v>
      </c>
      <c r="C6595" s="2" t="s">
        <v>5946</v>
      </c>
      <c r="D6595" s="3" t="str">
        <f t="shared" si="1237"/>
        <v>12Go Link</v>
      </c>
      <c r="E6595" s="2" t="s">
        <v>193</v>
      </c>
    </row>
    <row r="6596">
      <c r="A6596" s="2" t="s">
        <v>4651</v>
      </c>
      <c r="B6596" s="2" t="s">
        <v>4651</v>
      </c>
      <c r="C6596" s="2" t="s">
        <v>5947</v>
      </c>
      <c r="D6596" s="3" t="str">
        <f t="shared" ref="D6596:D6598" si="1238">HYPERLINK("https://12go.asia/en/travel/Mufakose-Transfer/Harare-Robert-Gabriel-Mugabe-Airport", "12Go Link")</f>
        <v>12Go Link</v>
      </c>
      <c r="E6596" s="2" t="s">
        <v>191</v>
      </c>
    </row>
    <row r="6597">
      <c r="A6597" s="2" t="s">
        <v>4651</v>
      </c>
      <c r="B6597" s="2" t="s">
        <v>4651</v>
      </c>
      <c r="C6597" s="2" t="s">
        <v>5947</v>
      </c>
      <c r="D6597" s="3" t="str">
        <f t="shared" si="1238"/>
        <v>12Go Link</v>
      </c>
      <c r="E6597" s="2" t="s">
        <v>192</v>
      </c>
    </row>
    <row r="6598">
      <c r="A6598" s="2" t="s">
        <v>4651</v>
      </c>
      <c r="B6598" s="2" t="s">
        <v>4651</v>
      </c>
      <c r="C6598" s="2" t="s">
        <v>5947</v>
      </c>
      <c r="D6598" s="3" t="str">
        <f t="shared" si="1238"/>
        <v>12Go Link</v>
      </c>
      <c r="E6598" s="2" t="s">
        <v>193</v>
      </c>
    </row>
    <row r="6599">
      <c r="A6599" s="2" t="s">
        <v>4651</v>
      </c>
      <c r="B6599" s="2" t="s">
        <v>4651</v>
      </c>
      <c r="C6599" s="2" t="s">
        <v>5948</v>
      </c>
      <c r="D6599" s="3" t="str">
        <f t="shared" ref="D6599:D6601" si="1239">HYPERLINK("https://12go.asia/en/travel/Tynwald-Transfer/Harare-Robert-Gabriel-Mugabe-Airport", "12Go Link")</f>
        <v>12Go Link</v>
      </c>
      <c r="E6599" s="2" t="s">
        <v>191</v>
      </c>
    </row>
    <row r="6600">
      <c r="A6600" s="2" t="s">
        <v>4651</v>
      </c>
      <c r="B6600" s="2" t="s">
        <v>4651</v>
      </c>
      <c r="C6600" s="2" t="s">
        <v>5948</v>
      </c>
      <c r="D6600" s="3" t="str">
        <f t="shared" si="1239"/>
        <v>12Go Link</v>
      </c>
      <c r="E6600" s="2" t="s">
        <v>192</v>
      </c>
    </row>
    <row r="6601">
      <c r="A6601" s="2" t="s">
        <v>4651</v>
      </c>
      <c r="B6601" s="2" t="s">
        <v>4651</v>
      </c>
      <c r="C6601" s="2" t="s">
        <v>5948</v>
      </c>
      <c r="D6601" s="3" t="str">
        <f t="shared" si="1239"/>
        <v>12Go Link</v>
      </c>
      <c r="E6601" s="2" t="s">
        <v>193</v>
      </c>
    </row>
    <row r="6602">
      <c r="A6602" s="2" t="s">
        <v>4651</v>
      </c>
      <c r="B6602" s="2" t="s">
        <v>4651</v>
      </c>
      <c r="C6602" s="2" t="s">
        <v>5949</v>
      </c>
      <c r="D6602" s="3" t="str">
        <f t="shared" ref="D6602:D6604" si="1240">HYPERLINK("https://12go.asia/en/travel/Warren-Park-Transfer/Harare-Robert-Gabriel-Mugabe-Airport", "12Go Link")</f>
        <v>12Go Link</v>
      </c>
      <c r="E6602" s="2" t="s">
        <v>191</v>
      </c>
    </row>
    <row r="6603">
      <c r="A6603" s="2" t="s">
        <v>4651</v>
      </c>
      <c r="B6603" s="2" t="s">
        <v>4651</v>
      </c>
      <c r="C6603" s="2" t="s">
        <v>5949</v>
      </c>
      <c r="D6603" s="3" t="str">
        <f t="shared" si="1240"/>
        <v>12Go Link</v>
      </c>
      <c r="E6603" s="2" t="s">
        <v>192</v>
      </c>
    </row>
    <row r="6604">
      <c r="A6604" s="2" t="s">
        <v>4651</v>
      </c>
      <c r="B6604" s="2" t="s">
        <v>4651</v>
      </c>
      <c r="C6604" s="2" t="s">
        <v>5949</v>
      </c>
      <c r="D6604" s="3" t="str">
        <f t="shared" si="1240"/>
        <v>12Go Link</v>
      </c>
      <c r="E6604" s="2" t="s">
        <v>193</v>
      </c>
    </row>
    <row r="6605">
      <c r="A6605" s="2" t="s">
        <v>4651</v>
      </c>
      <c r="B6605" s="2" t="s">
        <v>4651</v>
      </c>
      <c r="C6605" s="2" t="s">
        <v>5950</v>
      </c>
      <c r="D6605" s="3" t="str">
        <f t="shared" ref="D6605:D6607" si="1241">HYPERLINK("https://12go.asia/en/travel/Westgate-Transfer/Harare-Robert-Gabriel-Mugabe-Airport", "12Go Link")</f>
        <v>12Go Link</v>
      </c>
      <c r="E6605" s="2" t="s">
        <v>191</v>
      </c>
    </row>
    <row r="6606">
      <c r="A6606" s="2" t="s">
        <v>4651</v>
      </c>
      <c r="B6606" s="2" t="s">
        <v>4651</v>
      </c>
      <c r="C6606" s="2" t="s">
        <v>5950</v>
      </c>
      <c r="D6606" s="3" t="str">
        <f t="shared" si="1241"/>
        <v>12Go Link</v>
      </c>
      <c r="E6606" s="2" t="s">
        <v>192</v>
      </c>
    </row>
    <row r="6607">
      <c r="A6607" s="2" t="s">
        <v>4651</v>
      </c>
      <c r="B6607" s="2" t="s">
        <v>4651</v>
      </c>
      <c r="C6607" s="2" t="s">
        <v>5950</v>
      </c>
      <c r="D6607" s="3" t="str">
        <f t="shared" si="1241"/>
        <v>12Go Link</v>
      </c>
      <c r="E6607" s="2" t="s">
        <v>193</v>
      </c>
    </row>
    <row r="6608">
      <c r="A6608" s="2" t="s">
        <v>4651</v>
      </c>
      <c r="B6608" s="2" t="s">
        <v>5951</v>
      </c>
      <c r="C6608" s="2" t="s">
        <v>5952</v>
      </c>
      <c r="D6608" s="3" t="str">
        <f t="shared" ref="D6608:D6610" si="1242">HYPERLINK("https://12go.asia/en/travel/Harare-Robert-Gabriel-Mugabe-Airport/Juliasdale-Transfer", "12Go Link")</f>
        <v>12Go Link</v>
      </c>
      <c r="E6608" s="2" t="s">
        <v>191</v>
      </c>
    </row>
    <row r="6609">
      <c r="A6609" s="2" t="s">
        <v>4651</v>
      </c>
      <c r="B6609" s="2" t="s">
        <v>5951</v>
      </c>
      <c r="C6609" s="2" t="s">
        <v>5952</v>
      </c>
      <c r="D6609" s="3" t="str">
        <f t="shared" si="1242"/>
        <v>12Go Link</v>
      </c>
      <c r="E6609" s="2" t="s">
        <v>192</v>
      </c>
    </row>
    <row r="6610">
      <c r="A6610" s="2" t="s">
        <v>4651</v>
      </c>
      <c r="B6610" s="2" t="s">
        <v>5951</v>
      </c>
      <c r="C6610" s="2" t="s">
        <v>5952</v>
      </c>
      <c r="D6610" s="3" t="str">
        <f t="shared" si="1242"/>
        <v>12Go Link</v>
      </c>
      <c r="E6610" s="2" t="s">
        <v>193</v>
      </c>
    </row>
    <row r="6611">
      <c r="A6611" s="2" t="s">
        <v>4651</v>
      </c>
      <c r="B6611" s="2" t="s">
        <v>5953</v>
      </c>
      <c r="C6611" s="2" t="s">
        <v>5954</v>
      </c>
      <c r="D6611" s="3" t="str">
        <f t="shared" ref="D6611:D6613" si="1243">HYPERLINK("https://12go.asia/en/travel/Harare-Robert-Gabriel-Mugabe-Airport/Kadoma-Transfer", "12Go Link")</f>
        <v>12Go Link</v>
      </c>
      <c r="E6611" s="2" t="s">
        <v>191</v>
      </c>
    </row>
    <row r="6612">
      <c r="A6612" s="2" t="s">
        <v>4651</v>
      </c>
      <c r="B6612" s="2" t="s">
        <v>5953</v>
      </c>
      <c r="C6612" s="2" t="s">
        <v>5954</v>
      </c>
      <c r="D6612" s="3" t="str">
        <f t="shared" si="1243"/>
        <v>12Go Link</v>
      </c>
      <c r="E6612" s="2" t="s">
        <v>192</v>
      </c>
    </row>
    <row r="6613">
      <c r="A6613" s="2" t="s">
        <v>4651</v>
      </c>
      <c r="B6613" s="2" t="s">
        <v>5953</v>
      </c>
      <c r="C6613" s="2" t="s">
        <v>5954</v>
      </c>
      <c r="D6613" s="3" t="str">
        <f t="shared" si="1243"/>
        <v>12Go Link</v>
      </c>
      <c r="E6613" s="2" t="s">
        <v>193</v>
      </c>
    </row>
    <row r="6614">
      <c r="A6614" s="2" t="s">
        <v>4651</v>
      </c>
      <c r="B6614" s="2" t="s">
        <v>5955</v>
      </c>
      <c r="C6614" s="2" t="s">
        <v>5956</v>
      </c>
      <c r="D6614" s="3" t="str">
        <f t="shared" ref="D6614:D6616" si="1244">HYPERLINK("https://12go.asia/en/travel/Harare-Robert-Gabriel-Mugabe-Airport/Kariba-Transfer", "12Go Link")</f>
        <v>12Go Link</v>
      </c>
      <c r="E6614" s="2" t="s">
        <v>191</v>
      </c>
    </row>
    <row r="6615">
      <c r="A6615" s="2" t="s">
        <v>4651</v>
      </c>
      <c r="B6615" s="2" t="s">
        <v>5955</v>
      </c>
      <c r="C6615" s="2" t="s">
        <v>5956</v>
      </c>
      <c r="D6615" s="3" t="str">
        <f t="shared" si="1244"/>
        <v>12Go Link</v>
      </c>
      <c r="E6615" s="2" t="s">
        <v>192</v>
      </c>
    </row>
    <row r="6616">
      <c r="A6616" s="2" t="s">
        <v>4651</v>
      </c>
      <c r="B6616" s="2" t="s">
        <v>5955</v>
      </c>
      <c r="C6616" s="2" t="s">
        <v>5956</v>
      </c>
      <c r="D6616" s="3" t="str">
        <f t="shared" si="1244"/>
        <v>12Go Link</v>
      </c>
      <c r="E6616" s="2" t="s">
        <v>193</v>
      </c>
    </row>
    <row r="6617">
      <c r="A6617" s="2" t="s">
        <v>4651</v>
      </c>
      <c r="B6617" s="2" t="s">
        <v>5957</v>
      </c>
      <c r="C6617" s="2" t="s">
        <v>5958</v>
      </c>
      <c r="D6617" s="3" t="str">
        <f t="shared" ref="D6617:D6619" si="1245">HYPERLINK("https://12go.asia/en/travel/Harare-Robert-Gabriel-Mugabe-Airport/Kwekwe-Transfer", "12Go Link")</f>
        <v>12Go Link</v>
      </c>
      <c r="E6617" s="2" t="s">
        <v>191</v>
      </c>
    </row>
    <row r="6618">
      <c r="A6618" s="2" t="s">
        <v>4651</v>
      </c>
      <c r="B6618" s="2" t="s">
        <v>5957</v>
      </c>
      <c r="C6618" s="2" t="s">
        <v>5958</v>
      </c>
      <c r="D6618" s="3" t="str">
        <f t="shared" si="1245"/>
        <v>12Go Link</v>
      </c>
      <c r="E6618" s="2" t="s">
        <v>192</v>
      </c>
    </row>
    <row r="6619">
      <c r="A6619" s="2" t="s">
        <v>4651</v>
      </c>
      <c r="B6619" s="2" t="s">
        <v>5957</v>
      </c>
      <c r="C6619" s="2" t="s">
        <v>5958</v>
      </c>
      <c r="D6619" s="3" t="str">
        <f t="shared" si="1245"/>
        <v>12Go Link</v>
      </c>
      <c r="E6619" s="2" t="s">
        <v>193</v>
      </c>
    </row>
    <row r="6620">
      <c r="A6620" s="2" t="s">
        <v>4651</v>
      </c>
      <c r="B6620" s="2" t="s">
        <v>5959</v>
      </c>
      <c r="C6620" s="2" t="s">
        <v>5960</v>
      </c>
      <c r="D6620" s="3" t="str">
        <f t="shared" ref="D6620:D6622" si="1246">HYPERLINK("https://12go.asia/en/travel/Harare-Robert-Gabriel-Mugabe-Airport/Mana-Pools-Transfer", "12Go Link")</f>
        <v>12Go Link</v>
      </c>
      <c r="E6620" s="2" t="s">
        <v>191</v>
      </c>
    </row>
    <row r="6621">
      <c r="A6621" s="2" t="s">
        <v>4651</v>
      </c>
      <c r="B6621" s="2" t="s">
        <v>5959</v>
      </c>
      <c r="C6621" s="2" t="s">
        <v>5960</v>
      </c>
      <c r="D6621" s="3" t="str">
        <f t="shared" si="1246"/>
        <v>12Go Link</v>
      </c>
      <c r="E6621" s="2" t="s">
        <v>192</v>
      </c>
    </row>
    <row r="6622">
      <c r="A6622" s="2" t="s">
        <v>4651</v>
      </c>
      <c r="B6622" s="2" t="s">
        <v>5959</v>
      </c>
      <c r="C6622" s="2" t="s">
        <v>5960</v>
      </c>
      <c r="D6622" s="3" t="str">
        <f t="shared" si="1246"/>
        <v>12Go Link</v>
      </c>
      <c r="E6622" s="2" t="s">
        <v>193</v>
      </c>
    </row>
    <row r="6623">
      <c r="A6623" s="2" t="s">
        <v>4651</v>
      </c>
      <c r="B6623" s="2" t="s">
        <v>5961</v>
      </c>
      <c r="C6623" s="2" t="s">
        <v>5962</v>
      </c>
      <c r="D6623" s="3" t="str">
        <f t="shared" ref="D6623:D6625" si="1247">HYPERLINK("https://12go.asia/en/travel/Harare-Robert-Gabriel-Mugabe-Airport/Marondera-Transfer", "12Go Link")</f>
        <v>12Go Link</v>
      </c>
      <c r="E6623" s="2" t="s">
        <v>191</v>
      </c>
    </row>
    <row r="6624">
      <c r="A6624" s="2" t="s">
        <v>4651</v>
      </c>
      <c r="B6624" s="2" t="s">
        <v>5961</v>
      </c>
      <c r="C6624" s="2" t="s">
        <v>5962</v>
      </c>
      <c r="D6624" s="3" t="str">
        <f t="shared" si="1247"/>
        <v>12Go Link</v>
      </c>
      <c r="E6624" s="2" t="s">
        <v>192</v>
      </c>
    </row>
    <row r="6625">
      <c r="A6625" s="2" t="s">
        <v>4651</v>
      </c>
      <c r="B6625" s="2" t="s">
        <v>5961</v>
      </c>
      <c r="C6625" s="2" t="s">
        <v>5962</v>
      </c>
      <c r="D6625" s="3" t="str">
        <f t="shared" si="1247"/>
        <v>12Go Link</v>
      </c>
      <c r="E6625" s="2" t="s">
        <v>193</v>
      </c>
    </row>
    <row r="6626">
      <c r="A6626" s="2" t="s">
        <v>4651</v>
      </c>
      <c r="B6626" s="2" t="s">
        <v>5963</v>
      </c>
      <c r="C6626" s="2" t="s">
        <v>5964</v>
      </c>
      <c r="D6626" s="3" t="str">
        <f t="shared" ref="D6626:D6628" si="1248">HYPERLINK("https://12go.asia/en/travel/Harare-Robert-Gabriel-Mugabe-Airport/Masvingo-Transfer", "12Go Link")</f>
        <v>12Go Link</v>
      </c>
      <c r="E6626" s="2" t="s">
        <v>191</v>
      </c>
    </row>
    <row r="6627">
      <c r="A6627" s="2" t="s">
        <v>4651</v>
      </c>
      <c r="B6627" s="2" t="s">
        <v>5963</v>
      </c>
      <c r="C6627" s="2" t="s">
        <v>5964</v>
      </c>
      <c r="D6627" s="3" t="str">
        <f t="shared" si="1248"/>
        <v>12Go Link</v>
      </c>
      <c r="E6627" s="2" t="s">
        <v>192</v>
      </c>
    </row>
    <row r="6628">
      <c r="A6628" s="2" t="s">
        <v>4651</v>
      </c>
      <c r="B6628" s="2" t="s">
        <v>5963</v>
      </c>
      <c r="C6628" s="2" t="s">
        <v>5964</v>
      </c>
      <c r="D6628" s="3" t="str">
        <f t="shared" si="1248"/>
        <v>12Go Link</v>
      </c>
      <c r="E6628" s="2" t="s">
        <v>193</v>
      </c>
    </row>
    <row r="6629">
      <c r="A6629" s="2" t="s">
        <v>4651</v>
      </c>
      <c r="B6629" s="2" t="s">
        <v>5965</v>
      </c>
      <c r="C6629" s="2" t="s">
        <v>5966</v>
      </c>
      <c r="D6629" s="3" t="str">
        <f t="shared" ref="D6629:D6631" si="1249">HYPERLINK("https://12go.asia/en/travel/Harare-Robert-Gabriel-Mugabe-Airport/Mutare-Transfer", "12Go Link")</f>
        <v>12Go Link</v>
      </c>
      <c r="E6629" s="2" t="s">
        <v>191</v>
      </c>
    </row>
    <row r="6630">
      <c r="A6630" s="2" t="s">
        <v>4651</v>
      </c>
      <c r="B6630" s="2" t="s">
        <v>5965</v>
      </c>
      <c r="C6630" s="2" t="s">
        <v>5966</v>
      </c>
      <c r="D6630" s="3" t="str">
        <f t="shared" si="1249"/>
        <v>12Go Link</v>
      </c>
      <c r="E6630" s="2" t="s">
        <v>192</v>
      </c>
    </row>
    <row r="6631">
      <c r="A6631" s="2" t="s">
        <v>4651</v>
      </c>
      <c r="B6631" s="2" t="s">
        <v>5965</v>
      </c>
      <c r="C6631" s="2" t="s">
        <v>5966</v>
      </c>
      <c r="D6631" s="3" t="str">
        <f t="shared" si="1249"/>
        <v>12Go Link</v>
      </c>
      <c r="E6631" s="2" t="s">
        <v>193</v>
      </c>
    </row>
    <row r="6632">
      <c r="A6632" s="2" t="s">
        <v>4651</v>
      </c>
      <c r="B6632" s="2" t="s">
        <v>5967</v>
      </c>
      <c r="C6632" s="2" t="s">
        <v>5968</v>
      </c>
      <c r="D6632" s="3" t="str">
        <f t="shared" ref="D6632:D6634" si="1250">HYPERLINK("https://12go.asia/en/travel/Harare-Robert-Gabriel-Mugabe-Airport/Mvuma-Transfer", "12Go Link")</f>
        <v>12Go Link</v>
      </c>
      <c r="E6632" s="2" t="s">
        <v>191</v>
      </c>
    </row>
    <row r="6633">
      <c r="A6633" s="2" t="s">
        <v>4651</v>
      </c>
      <c r="B6633" s="2" t="s">
        <v>5967</v>
      </c>
      <c r="C6633" s="2" t="s">
        <v>5968</v>
      </c>
      <c r="D6633" s="3" t="str">
        <f t="shared" si="1250"/>
        <v>12Go Link</v>
      </c>
      <c r="E6633" s="2" t="s">
        <v>192</v>
      </c>
    </row>
    <row r="6634">
      <c r="A6634" s="2" t="s">
        <v>4651</v>
      </c>
      <c r="B6634" s="2" t="s">
        <v>5967</v>
      </c>
      <c r="C6634" s="2" t="s">
        <v>5968</v>
      </c>
      <c r="D6634" s="3" t="str">
        <f t="shared" si="1250"/>
        <v>12Go Link</v>
      </c>
      <c r="E6634" s="2" t="s">
        <v>193</v>
      </c>
    </row>
    <row r="6635">
      <c r="A6635" s="2" t="s">
        <v>4651</v>
      </c>
      <c r="B6635" s="2" t="s">
        <v>5969</v>
      </c>
      <c r="C6635" s="2" t="s">
        <v>5970</v>
      </c>
      <c r="D6635" s="3" t="str">
        <f t="shared" ref="D6635:D6637" si="1251">HYPERLINK("https://12go.asia/en/travel/Harare-Robert-Gabriel-Mugabe-Airport/Mvurwi-Transfer", "12Go Link")</f>
        <v>12Go Link</v>
      </c>
      <c r="E6635" s="2" t="s">
        <v>191</v>
      </c>
    </row>
    <row r="6636">
      <c r="A6636" s="2" t="s">
        <v>4651</v>
      </c>
      <c r="B6636" s="2" t="s">
        <v>5969</v>
      </c>
      <c r="C6636" s="2" t="s">
        <v>5970</v>
      </c>
      <c r="D6636" s="3" t="str">
        <f t="shared" si="1251"/>
        <v>12Go Link</v>
      </c>
      <c r="E6636" s="2" t="s">
        <v>192</v>
      </c>
    </row>
    <row r="6637">
      <c r="A6637" s="2" t="s">
        <v>4651</v>
      </c>
      <c r="B6637" s="2" t="s">
        <v>5969</v>
      </c>
      <c r="C6637" s="2" t="s">
        <v>5970</v>
      </c>
      <c r="D6637" s="3" t="str">
        <f t="shared" si="1251"/>
        <v>12Go Link</v>
      </c>
      <c r="E6637" s="2" t="s">
        <v>193</v>
      </c>
    </row>
    <row r="6638">
      <c r="A6638" s="2" t="s">
        <v>4651</v>
      </c>
      <c r="B6638" s="2" t="s">
        <v>5971</v>
      </c>
      <c r="C6638" s="2" t="s">
        <v>5972</v>
      </c>
      <c r="D6638" s="3" t="str">
        <f t="shared" ref="D6638:D6640" si="1252">HYPERLINK("https://12go.asia/en/travel/Harare-Robert-Gabriel-Mugabe-Airport/Norton-Transfer", "12Go Link")</f>
        <v>12Go Link</v>
      </c>
      <c r="E6638" s="2" t="s">
        <v>191</v>
      </c>
    </row>
    <row r="6639">
      <c r="A6639" s="2" t="s">
        <v>4651</v>
      </c>
      <c r="B6639" s="2" t="s">
        <v>5971</v>
      </c>
      <c r="C6639" s="2" t="s">
        <v>5972</v>
      </c>
      <c r="D6639" s="3" t="str">
        <f t="shared" si="1252"/>
        <v>12Go Link</v>
      </c>
      <c r="E6639" s="2" t="s">
        <v>192</v>
      </c>
    </row>
    <row r="6640">
      <c r="A6640" s="2" t="s">
        <v>4651</v>
      </c>
      <c r="B6640" s="2" t="s">
        <v>5971</v>
      </c>
      <c r="C6640" s="2" t="s">
        <v>5972</v>
      </c>
      <c r="D6640" s="3" t="str">
        <f t="shared" si="1252"/>
        <v>12Go Link</v>
      </c>
      <c r="E6640" s="2" t="s">
        <v>193</v>
      </c>
    </row>
    <row r="6641">
      <c r="A6641" s="2" t="s">
        <v>4651</v>
      </c>
      <c r="B6641" s="2" t="s">
        <v>5973</v>
      </c>
      <c r="C6641" s="2" t="s">
        <v>5974</v>
      </c>
      <c r="D6641" s="3" t="str">
        <f t="shared" ref="D6641:D6643" si="1253">HYPERLINK("https://12go.asia/en/travel/Harare-Robert-Gabriel-Mugabe-Airport/Nyanga-Transfer", "12Go Link")</f>
        <v>12Go Link</v>
      </c>
      <c r="E6641" s="2" t="s">
        <v>191</v>
      </c>
    </row>
    <row r="6642">
      <c r="A6642" s="2" t="s">
        <v>4651</v>
      </c>
      <c r="B6642" s="2" t="s">
        <v>5973</v>
      </c>
      <c r="C6642" s="2" t="s">
        <v>5974</v>
      </c>
      <c r="D6642" s="3" t="str">
        <f t="shared" si="1253"/>
        <v>12Go Link</v>
      </c>
      <c r="E6642" s="2" t="s">
        <v>192</v>
      </c>
    </row>
    <row r="6643">
      <c r="A6643" s="2" t="s">
        <v>4651</v>
      </c>
      <c r="B6643" s="2" t="s">
        <v>5973</v>
      </c>
      <c r="C6643" s="2" t="s">
        <v>5974</v>
      </c>
      <c r="D6643" s="3" t="str">
        <f t="shared" si="1253"/>
        <v>12Go Link</v>
      </c>
      <c r="E6643" s="2" t="s">
        <v>193</v>
      </c>
    </row>
    <row r="6644">
      <c r="A6644" s="2" t="s">
        <v>4651</v>
      </c>
      <c r="B6644" s="2" t="s">
        <v>5975</v>
      </c>
      <c r="C6644" s="2" t="s">
        <v>5976</v>
      </c>
      <c r="D6644" s="3" t="str">
        <f t="shared" ref="D6644:D6646" si="1254">HYPERLINK("https://12go.asia/en/travel/Harare-Robert-Gabriel-Mugabe-Airport/Rusape-Transfer", "12Go Link")</f>
        <v>12Go Link</v>
      </c>
      <c r="E6644" s="2" t="s">
        <v>191</v>
      </c>
    </row>
    <row r="6645">
      <c r="A6645" s="2" t="s">
        <v>4651</v>
      </c>
      <c r="B6645" s="2" t="s">
        <v>5975</v>
      </c>
      <c r="C6645" s="2" t="s">
        <v>5976</v>
      </c>
      <c r="D6645" s="3" t="str">
        <f t="shared" si="1254"/>
        <v>12Go Link</v>
      </c>
      <c r="E6645" s="2" t="s">
        <v>192</v>
      </c>
    </row>
    <row r="6646">
      <c r="A6646" s="2" t="s">
        <v>4651</v>
      </c>
      <c r="B6646" s="2" t="s">
        <v>5975</v>
      </c>
      <c r="C6646" s="2" t="s">
        <v>5976</v>
      </c>
      <c r="D6646" s="3" t="str">
        <f t="shared" si="1254"/>
        <v>12Go Link</v>
      </c>
      <c r="E6646" s="2" t="s">
        <v>193</v>
      </c>
    </row>
    <row r="6647">
      <c r="A6647" s="2" t="s">
        <v>4651</v>
      </c>
      <c r="B6647" s="2" t="s">
        <v>5977</v>
      </c>
      <c r="C6647" s="2" t="s">
        <v>5978</v>
      </c>
      <c r="D6647" s="3" t="str">
        <f t="shared" ref="D6647:D6649" si="1255">HYPERLINK("https://12go.asia/en/travel/Harare-Robert-Gabriel-Mugabe-Airport/Ruwa-Transfer", "12Go Link")</f>
        <v>12Go Link</v>
      </c>
      <c r="E6647" s="2" t="s">
        <v>191</v>
      </c>
    </row>
    <row r="6648">
      <c r="A6648" s="2" t="s">
        <v>4651</v>
      </c>
      <c r="B6648" s="2" t="s">
        <v>5977</v>
      </c>
      <c r="C6648" s="2" t="s">
        <v>5978</v>
      </c>
      <c r="D6648" s="3" t="str">
        <f t="shared" si="1255"/>
        <v>12Go Link</v>
      </c>
      <c r="E6648" s="2" t="s">
        <v>192</v>
      </c>
    </row>
    <row r="6649">
      <c r="A6649" s="2" t="s">
        <v>4651</v>
      </c>
      <c r="B6649" s="2" t="s">
        <v>5977</v>
      </c>
      <c r="C6649" s="2" t="s">
        <v>5978</v>
      </c>
      <c r="D6649" s="3" t="str">
        <f t="shared" si="1255"/>
        <v>12Go Link</v>
      </c>
      <c r="E6649" s="2" t="s">
        <v>193</v>
      </c>
    </row>
    <row r="6650">
      <c r="A6650" s="2" t="s">
        <v>5951</v>
      </c>
      <c r="B6650" s="2" t="s">
        <v>4651</v>
      </c>
      <c r="C6650" s="2" t="s">
        <v>5979</v>
      </c>
      <c r="D6650" s="3" t="str">
        <f t="shared" ref="D6650:D6652" si="1256">HYPERLINK("https://12go.asia/en/travel/Juliasdale-Transfer/Harare-Robert-Gabriel-Mugabe-Airport", "12Go Link")</f>
        <v>12Go Link</v>
      </c>
      <c r="E6650" s="2" t="s">
        <v>191</v>
      </c>
    </row>
    <row r="6651">
      <c r="A6651" s="2" t="s">
        <v>5951</v>
      </c>
      <c r="B6651" s="2" t="s">
        <v>4651</v>
      </c>
      <c r="C6651" s="2" t="s">
        <v>5979</v>
      </c>
      <c r="D6651" s="3" t="str">
        <f t="shared" si="1256"/>
        <v>12Go Link</v>
      </c>
      <c r="E6651" s="2" t="s">
        <v>192</v>
      </c>
    </row>
    <row r="6652">
      <c r="A6652" s="2" t="s">
        <v>5951</v>
      </c>
      <c r="B6652" s="2" t="s">
        <v>4651</v>
      </c>
      <c r="C6652" s="2" t="s">
        <v>5979</v>
      </c>
      <c r="D6652" s="3" t="str">
        <f t="shared" si="1256"/>
        <v>12Go Link</v>
      </c>
      <c r="E6652" s="2" t="s">
        <v>193</v>
      </c>
    </row>
    <row r="6653">
      <c r="A6653" s="2" t="s">
        <v>5953</v>
      </c>
      <c r="B6653" s="2" t="s">
        <v>4651</v>
      </c>
      <c r="C6653" s="2" t="s">
        <v>5980</v>
      </c>
      <c r="D6653" s="3" t="str">
        <f t="shared" ref="D6653:D6655" si="1257">HYPERLINK("https://12go.asia/en/travel/Kadoma-Transfer/Harare-Robert-Gabriel-Mugabe-Airport", "12Go Link")</f>
        <v>12Go Link</v>
      </c>
      <c r="E6653" s="2" t="s">
        <v>191</v>
      </c>
    </row>
    <row r="6654">
      <c r="A6654" s="2" t="s">
        <v>5953</v>
      </c>
      <c r="B6654" s="2" t="s">
        <v>4651</v>
      </c>
      <c r="C6654" s="2" t="s">
        <v>5980</v>
      </c>
      <c r="D6654" s="3" t="str">
        <f t="shared" si="1257"/>
        <v>12Go Link</v>
      </c>
      <c r="E6654" s="2" t="s">
        <v>192</v>
      </c>
    </row>
    <row r="6655">
      <c r="A6655" s="2" t="s">
        <v>5953</v>
      </c>
      <c r="B6655" s="2" t="s">
        <v>4651</v>
      </c>
      <c r="C6655" s="2" t="s">
        <v>5980</v>
      </c>
      <c r="D6655" s="3" t="str">
        <f t="shared" si="1257"/>
        <v>12Go Link</v>
      </c>
      <c r="E6655" s="2" t="s">
        <v>193</v>
      </c>
    </row>
    <row r="6656">
      <c r="A6656" s="2" t="s">
        <v>5955</v>
      </c>
      <c r="B6656" s="2" t="s">
        <v>4651</v>
      </c>
      <c r="C6656" s="2" t="s">
        <v>5981</v>
      </c>
      <c r="D6656" s="3" t="str">
        <f t="shared" ref="D6656:D6658" si="1258">HYPERLINK("https://12go.asia/en/travel/Kariba-Transfer/Harare-Robert-Gabriel-Mugabe-Airport", "12Go Link")</f>
        <v>12Go Link</v>
      </c>
      <c r="E6656" s="2" t="s">
        <v>191</v>
      </c>
    </row>
    <row r="6657">
      <c r="A6657" s="2" t="s">
        <v>5955</v>
      </c>
      <c r="B6657" s="2" t="s">
        <v>4651</v>
      </c>
      <c r="C6657" s="2" t="s">
        <v>5981</v>
      </c>
      <c r="D6657" s="3" t="str">
        <f t="shared" si="1258"/>
        <v>12Go Link</v>
      </c>
      <c r="E6657" s="2" t="s">
        <v>192</v>
      </c>
    </row>
    <row r="6658">
      <c r="A6658" s="2" t="s">
        <v>5955</v>
      </c>
      <c r="B6658" s="2" t="s">
        <v>4651</v>
      </c>
      <c r="C6658" s="2" t="s">
        <v>5981</v>
      </c>
      <c r="D6658" s="3" t="str">
        <f t="shared" si="1258"/>
        <v>12Go Link</v>
      </c>
      <c r="E6658" s="2" t="s">
        <v>193</v>
      </c>
    </row>
    <row r="6659">
      <c r="A6659" s="2" t="s">
        <v>5957</v>
      </c>
      <c r="B6659" s="2" t="s">
        <v>4651</v>
      </c>
      <c r="C6659" s="2" t="s">
        <v>5982</v>
      </c>
      <c r="D6659" s="3" t="str">
        <f t="shared" ref="D6659:D6661" si="1259">HYPERLINK("https://12go.asia/en/travel/Kwekwe-Transfer/Harare-Robert-Gabriel-Mugabe-Airport", "12Go Link")</f>
        <v>12Go Link</v>
      </c>
      <c r="E6659" s="2" t="s">
        <v>191</v>
      </c>
    </row>
    <row r="6660">
      <c r="A6660" s="2" t="s">
        <v>5957</v>
      </c>
      <c r="B6660" s="2" t="s">
        <v>4651</v>
      </c>
      <c r="C6660" s="2" t="s">
        <v>5982</v>
      </c>
      <c r="D6660" s="3" t="str">
        <f t="shared" si="1259"/>
        <v>12Go Link</v>
      </c>
      <c r="E6660" s="2" t="s">
        <v>192</v>
      </c>
    </row>
    <row r="6661">
      <c r="A6661" s="2" t="s">
        <v>5957</v>
      </c>
      <c r="B6661" s="2" t="s">
        <v>4651</v>
      </c>
      <c r="C6661" s="2" t="s">
        <v>5982</v>
      </c>
      <c r="D6661" s="3" t="str">
        <f t="shared" si="1259"/>
        <v>12Go Link</v>
      </c>
      <c r="E6661" s="2" t="s">
        <v>193</v>
      </c>
    </row>
    <row r="6662">
      <c r="A6662" s="2" t="s">
        <v>5959</v>
      </c>
      <c r="B6662" s="2" t="s">
        <v>4651</v>
      </c>
      <c r="C6662" s="2" t="s">
        <v>5983</v>
      </c>
      <c r="D6662" s="3" t="str">
        <f t="shared" ref="D6662:D6664" si="1260">HYPERLINK("https://12go.asia/en/travel/Mana-Pools-Transfer/Harare-Robert-Gabriel-Mugabe-Airport", "12Go Link")</f>
        <v>12Go Link</v>
      </c>
      <c r="E6662" s="2" t="s">
        <v>191</v>
      </c>
    </row>
    <row r="6663">
      <c r="A6663" s="2" t="s">
        <v>5959</v>
      </c>
      <c r="B6663" s="2" t="s">
        <v>4651</v>
      </c>
      <c r="C6663" s="2" t="s">
        <v>5983</v>
      </c>
      <c r="D6663" s="3" t="str">
        <f t="shared" si="1260"/>
        <v>12Go Link</v>
      </c>
      <c r="E6663" s="2" t="s">
        <v>192</v>
      </c>
    </row>
    <row r="6664">
      <c r="A6664" s="2" t="s">
        <v>5959</v>
      </c>
      <c r="B6664" s="2" t="s">
        <v>4651</v>
      </c>
      <c r="C6664" s="2" t="s">
        <v>5983</v>
      </c>
      <c r="D6664" s="3" t="str">
        <f t="shared" si="1260"/>
        <v>12Go Link</v>
      </c>
      <c r="E6664" s="2" t="s">
        <v>193</v>
      </c>
    </row>
    <row r="6665">
      <c r="A6665" s="2" t="s">
        <v>5961</v>
      </c>
      <c r="B6665" s="2" t="s">
        <v>4651</v>
      </c>
      <c r="C6665" s="2" t="s">
        <v>5984</v>
      </c>
      <c r="D6665" s="3" t="str">
        <f t="shared" ref="D6665:D6667" si="1261">HYPERLINK("https://12go.asia/en/travel/Marondera-Transfer/Harare-Robert-Gabriel-Mugabe-Airport", "12Go Link")</f>
        <v>12Go Link</v>
      </c>
      <c r="E6665" s="2" t="s">
        <v>191</v>
      </c>
    </row>
    <row r="6666">
      <c r="A6666" s="2" t="s">
        <v>5961</v>
      </c>
      <c r="B6666" s="2" t="s">
        <v>4651</v>
      </c>
      <c r="C6666" s="2" t="s">
        <v>5984</v>
      </c>
      <c r="D6666" s="3" t="str">
        <f t="shared" si="1261"/>
        <v>12Go Link</v>
      </c>
      <c r="E6666" s="2" t="s">
        <v>192</v>
      </c>
    </row>
    <row r="6667">
      <c r="A6667" s="2" t="s">
        <v>5961</v>
      </c>
      <c r="B6667" s="2" t="s">
        <v>4651</v>
      </c>
      <c r="C6667" s="2" t="s">
        <v>5984</v>
      </c>
      <c r="D6667" s="3" t="str">
        <f t="shared" si="1261"/>
        <v>12Go Link</v>
      </c>
      <c r="E6667" s="2" t="s">
        <v>193</v>
      </c>
    </row>
    <row r="6668">
      <c r="A6668" s="2" t="s">
        <v>5963</v>
      </c>
      <c r="B6668" s="2" t="s">
        <v>4651</v>
      </c>
      <c r="C6668" s="2" t="s">
        <v>5985</v>
      </c>
      <c r="D6668" s="3" t="str">
        <f t="shared" ref="D6668:D6670" si="1262">HYPERLINK("https://12go.asia/en/travel/Masvingo-Transfer/Harare-Robert-Gabriel-Mugabe-Airport", "12Go Link")</f>
        <v>12Go Link</v>
      </c>
      <c r="E6668" s="2" t="s">
        <v>191</v>
      </c>
    </row>
    <row r="6669">
      <c r="A6669" s="2" t="s">
        <v>5963</v>
      </c>
      <c r="B6669" s="2" t="s">
        <v>4651</v>
      </c>
      <c r="C6669" s="2" t="s">
        <v>5985</v>
      </c>
      <c r="D6669" s="3" t="str">
        <f t="shared" si="1262"/>
        <v>12Go Link</v>
      </c>
      <c r="E6669" s="2" t="s">
        <v>192</v>
      </c>
    </row>
    <row r="6670">
      <c r="A6670" s="2" t="s">
        <v>5963</v>
      </c>
      <c r="B6670" s="2" t="s">
        <v>4651</v>
      </c>
      <c r="C6670" s="2" t="s">
        <v>5985</v>
      </c>
      <c r="D6670" s="3" t="str">
        <f t="shared" si="1262"/>
        <v>12Go Link</v>
      </c>
      <c r="E6670" s="2" t="s">
        <v>193</v>
      </c>
    </row>
    <row r="6671">
      <c r="A6671" s="2" t="s">
        <v>5965</v>
      </c>
      <c r="B6671" s="2" t="s">
        <v>4651</v>
      </c>
      <c r="C6671" s="2" t="s">
        <v>5986</v>
      </c>
      <c r="D6671" s="3" t="str">
        <f t="shared" ref="D6671:D6673" si="1263">HYPERLINK("https://12go.asia/en/travel/Mutare-Transfer/Harare-Robert-Gabriel-Mugabe-Airport", "12Go Link")</f>
        <v>12Go Link</v>
      </c>
      <c r="E6671" s="2" t="s">
        <v>191</v>
      </c>
    </row>
    <row r="6672">
      <c r="A6672" s="2" t="s">
        <v>5965</v>
      </c>
      <c r="B6672" s="2" t="s">
        <v>4651</v>
      </c>
      <c r="C6672" s="2" t="s">
        <v>5986</v>
      </c>
      <c r="D6672" s="3" t="str">
        <f t="shared" si="1263"/>
        <v>12Go Link</v>
      </c>
      <c r="E6672" s="2" t="s">
        <v>192</v>
      </c>
    </row>
    <row r="6673">
      <c r="A6673" s="2" t="s">
        <v>5965</v>
      </c>
      <c r="B6673" s="2" t="s">
        <v>4651</v>
      </c>
      <c r="C6673" s="2" t="s">
        <v>5986</v>
      </c>
      <c r="D6673" s="3" t="str">
        <f t="shared" si="1263"/>
        <v>12Go Link</v>
      </c>
      <c r="E6673" s="2" t="s">
        <v>193</v>
      </c>
    </row>
    <row r="6674">
      <c r="A6674" s="2" t="s">
        <v>5967</v>
      </c>
      <c r="B6674" s="2" t="s">
        <v>4651</v>
      </c>
      <c r="C6674" s="2" t="s">
        <v>5987</v>
      </c>
      <c r="D6674" s="3" t="str">
        <f t="shared" ref="D6674:D6676" si="1264">HYPERLINK("https://12go.asia/en/travel/Mvuma-Transfer/Harare-Robert-Gabriel-Mugabe-Airport", "12Go Link")</f>
        <v>12Go Link</v>
      </c>
      <c r="E6674" s="2" t="s">
        <v>191</v>
      </c>
    </row>
    <row r="6675">
      <c r="A6675" s="2" t="s">
        <v>5967</v>
      </c>
      <c r="B6675" s="2" t="s">
        <v>4651</v>
      </c>
      <c r="C6675" s="2" t="s">
        <v>5987</v>
      </c>
      <c r="D6675" s="3" t="str">
        <f t="shared" si="1264"/>
        <v>12Go Link</v>
      </c>
      <c r="E6675" s="2" t="s">
        <v>192</v>
      </c>
    </row>
    <row r="6676">
      <c r="A6676" s="2" t="s">
        <v>5967</v>
      </c>
      <c r="B6676" s="2" t="s">
        <v>4651</v>
      </c>
      <c r="C6676" s="2" t="s">
        <v>5987</v>
      </c>
      <c r="D6676" s="3" t="str">
        <f t="shared" si="1264"/>
        <v>12Go Link</v>
      </c>
      <c r="E6676" s="2" t="s">
        <v>193</v>
      </c>
    </row>
    <row r="6677">
      <c r="A6677" s="2" t="s">
        <v>5969</v>
      </c>
      <c r="B6677" s="2" t="s">
        <v>4651</v>
      </c>
      <c r="C6677" s="2" t="s">
        <v>5988</v>
      </c>
      <c r="D6677" s="3" t="str">
        <f t="shared" ref="D6677:D6679" si="1265">HYPERLINK("https://12go.asia/en/travel/Mvurwi-Transfer/Harare-Robert-Gabriel-Mugabe-Airport", "12Go Link")</f>
        <v>12Go Link</v>
      </c>
      <c r="E6677" s="2" t="s">
        <v>191</v>
      </c>
    </row>
    <row r="6678">
      <c r="A6678" s="2" t="s">
        <v>5969</v>
      </c>
      <c r="B6678" s="2" t="s">
        <v>4651</v>
      </c>
      <c r="C6678" s="2" t="s">
        <v>5988</v>
      </c>
      <c r="D6678" s="3" t="str">
        <f t="shared" si="1265"/>
        <v>12Go Link</v>
      </c>
      <c r="E6678" s="2" t="s">
        <v>192</v>
      </c>
    </row>
    <row r="6679">
      <c r="A6679" s="2" t="s">
        <v>5969</v>
      </c>
      <c r="B6679" s="2" t="s">
        <v>4651</v>
      </c>
      <c r="C6679" s="2" t="s">
        <v>5988</v>
      </c>
      <c r="D6679" s="3" t="str">
        <f t="shared" si="1265"/>
        <v>12Go Link</v>
      </c>
      <c r="E6679" s="2" t="s">
        <v>193</v>
      </c>
    </row>
    <row r="6680">
      <c r="A6680" s="2" t="s">
        <v>5971</v>
      </c>
      <c r="B6680" s="2" t="s">
        <v>4651</v>
      </c>
      <c r="C6680" s="2" t="s">
        <v>5989</v>
      </c>
      <c r="D6680" s="3" t="str">
        <f t="shared" ref="D6680:D6682" si="1266">HYPERLINK("https://12go.asia/en/travel/Norton-Transfer/Harare-Robert-Gabriel-Mugabe-Airport", "12Go Link")</f>
        <v>12Go Link</v>
      </c>
      <c r="E6680" s="2" t="s">
        <v>191</v>
      </c>
    </row>
    <row r="6681">
      <c r="A6681" s="2" t="s">
        <v>5971</v>
      </c>
      <c r="B6681" s="2" t="s">
        <v>4651</v>
      </c>
      <c r="C6681" s="2" t="s">
        <v>5989</v>
      </c>
      <c r="D6681" s="3" t="str">
        <f t="shared" si="1266"/>
        <v>12Go Link</v>
      </c>
      <c r="E6681" s="2" t="s">
        <v>192</v>
      </c>
    </row>
    <row r="6682">
      <c r="A6682" s="2" t="s">
        <v>5971</v>
      </c>
      <c r="B6682" s="2" t="s">
        <v>4651</v>
      </c>
      <c r="C6682" s="2" t="s">
        <v>5989</v>
      </c>
      <c r="D6682" s="3" t="str">
        <f t="shared" si="1266"/>
        <v>12Go Link</v>
      </c>
      <c r="E6682" s="2" t="s">
        <v>193</v>
      </c>
    </row>
    <row r="6683">
      <c r="A6683" s="2" t="s">
        <v>5973</v>
      </c>
      <c r="B6683" s="2" t="s">
        <v>4651</v>
      </c>
      <c r="C6683" s="2" t="s">
        <v>5990</v>
      </c>
      <c r="D6683" s="3" t="str">
        <f t="shared" ref="D6683:D6685" si="1267">HYPERLINK("https://12go.asia/en/travel/Nyanga-Transfer/Harare-Robert-Gabriel-Mugabe-Airport", "12Go Link")</f>
        <v>12Go Link</v>
      </c>
      <c r="E6683" s="2" t="s">
        <v>191</v>
      </c>
    </row>
    <row r="6684">
      <c r="A6684" s="2" t="s">
        <v>5973</v>
      </c>
      <c r="B6684" s="2" t="s">
        <v>4651</v>
      </c>
      <c r="C6684" s="2" t="s">
        <v>5990</v>
      </c>
      <c r="D6684" s="3" t="str">
        <f t="shared" si="1267"/>
        <v>12Go Link</v>
      </c>
      <c r="E6684" s="2" t="s">
        <v>192</v>
      </c>
    </row>
    <row r="6685">
      <c r="A6685" s="2" t="s">
        <v>5973</v>
      </c>
      <c r="B6685" s="2" t="s">
        <v>4651</v>
      </c>
      <c r="C6685" s="2" t="s">
        <v>5990</v>
      </c>
      <c r="D6685" s="3" t="str">
        <f t="shared" si="1267"/>
        <v>12Go Link</v>
      </c>
      <c r="E6685" s="2" t="s">
        <v>193</v>
      </c>
    </row>
    <row r="6686">
      <c r="A6686" s="2" t="s">
        <v>5975</v>
      </c>
      <c r="B6686" s="2" t="s">
        <v>4651</v>
      </c>
      <c r="C6686" s="2" t="s">
        <v>5991</v>
      </c>
      <c r="D6686" s="3" t="str">
        <f t="shared" ref="D6686:D6688" si="1268">HYPERLINK("https://12go.asia/en/travel/Rusape-Transfer/Harare-Robert-Gabriel-Mugabe-Airport", "12Go Link")</f>
        <v>12Go Link</v>
      </c>
      <c r="E6686" s="2" t="s">
        <v>191</v>
      </c>
    </row>
    <row r="6687">
      <c r="A6687" s="2" t="s">
        <v>5975</v>
      </c>
      <c r="B6687" s="2" t="s">
        <v>4651</v>
      </c>
      <c r="C6687" s="2" t="s">
        <v>5991</v>
      </c>
      <c r="D6687" s="3" t="str">
        <f t="shared" si="1268"/>
        <v>12Go Link</v>
      </c>
      <c r="E6687" s="2" t="s">
        <v>192</v>
      </c>
    </row>
    <row r="6688">
      <c r="A6688" s="2" t="s">
        <v>5975</v>
      </c>
      <c r="B6688" s="2" t="s">
        <v>4651</v>
      </c>
      <c r="C6688" s="2" t="s">
        <v>5991</v>
      </c>
      <c r="D6688" s="3" t="str">
        <f t="shared" si="1268"/>
        <v>12Go Link</v>
      </c>
      <c r="E6688" s="2" t="s">
        <v>193</v>
      </c>
    </row>
    <row r="6689">
      <c r="A6689" s="2" t="s">
        <v>5977</v>
      </c>
      <c r="B6689" s="2" t="s">
        <v>4651</v>
      </c>
      <c r="C6689" s="2" t="s">
        <v>5992</v>
      </c>
      <c r="D6689" s="3" t="str">
        <f t="shared" ref="D6689:D6691" si="1269">HYPERLINK("https://12go.asia/en/travel/Ruwa-Transfer/Harare-Robert-Gabriel-Mugabe-Airport", "12Go Link")</f>
        <v>12Go Link</v>
      </c>
      <c r="E6689" s="2" t="s">
        <v>191</v>
      </c>
    </row>
    <row r="6690">
      <c r="A6690" s="2" t="s">
        <v>5977</v>
      </c>
      <c r="B6690" s="2" t="s">
        <v>4651</v>
      </c>
      <c r="C6690" s="2" t="s">
        <v>5992</v>
      </c>
      <c r="D6690" s="3" t="str">
        <f t="shared" si="1269"/>
        <v>12Go Link</v>
      </c>
      <c r="E6690" s="2" t="s">
        <v>192</v>
      </c>
    </row>
    <row r="6691">
      <c r="A6691" s="2" t="s">
        <v>5977</v>
      </c>
      <c r="B6691" s="2" t="s">
        <v>4651</v>
      </c>
      <c r="C6691" s="2" t="s">
        <v>5992</v>
      </c>
      <c r="D6691" s="3" t="str">
        <f t="shared" si="1269"/>
        <v>12Go Link</v>
      </c>
      <c r="E6691" s="2" t="s">
        <v>193</v>
      </c>
    </row>
    <row r="6692">
      <c r="A6692" s="2" t="s">
        <v>194</v>
      </c>
      <c r="B6692" s="2" t="s">
        <v>188</v>
      </c>
      <c r="C6692" s="2" t="s">
        <v>5993</v>
      </c>
      <c r="D6692" s="3" t="str">
        <f t="shared" ref="D6692:D6694" si="1270">HYPERLINK("https://12go.asia/en/travel/Victoria-Falls-Airport/Chobe-National-Park", "12Go Link")</f>
        <v>12Go Link</v>
      </c>
      <c r="E6692" s="2" t="s">
        <v>191</v>
      </c>
    </row>
    <row r="6693">
      <c r="A6693" s="2" t="s">
        <v>194</v>
      </c>
      <c r="B6693" s="2" t="s">
        <v>188</v>
      </c>
      <c r="C6693" s="2" t="s">
        <v>5993</v>
      </c>
      <c r="D6693" s="3" t="str">
        <f t="shared" si="1270"/>
        <v>12Go Link</v>
      </c>
      <c r="E6693" s="2" t="s">
        <v>192</v>
      </c>
    </row>
    <row r="6694">
      <c r="A6694" s="2" t="s">
        <v>194</v>
      </c>
      <c r="B6694" s="2" t="s">
        <v>188</v>
      </c>
      <c r="C6694" s="2" t="s">
        <v>5993</v>
      </c>
      <c r="D6694" s="3" t="str">
        <f t="shared" si="1270"/>
        <v>12Go Link</v>
      </c>
      <c r="E6694" s="2" t="s">
        <v>193</v>
      </c>
    </row>
    <row r="6695">
      <c r="A6695" s="2" t="s">
        <v>194</v>
      </c>
      <c r="B6695" s="2" t="s">
        <v>5864</v>
      </c>
      <c r="C6695" s="2" t="s">
        <v>5994</v>
      </c>
      <c r="D6695" s="3" t="str">
        <f t="shared" ref="D6695:D6697" si="1271">HYPERLINK("https://12go.asia/en/travel/Victoria-Falls-Airport/Kazungula-Transfer", "12Go Link")</f>
        <v>12Go Link</v>
      </c>
      <c r="E6695" s="2" t="s">
        <v>191</v>
      </c>
    </row>
    <row r="6696">
      <c r="A6696" s="2" t="s">
        <v>194</v>
      </c>
      <c r="B6696" s="2" t="s">
        <v>5864</v>
      </c>
      <c r="C6696" s="2" t="s">
        <v>5994</v>
      </c>
      <c r="D6696" s="3" t="str">
        <f t="shared" si="1271"/>
        <v>12Go Link</v>
      </c>
      <c r="E6696" s="2" t="s">
        <v>192</v>
      </c>
    </row>
    <row r="6697">
      <c r="A6697" s="2" t="s">
        <v>194</v>
      </c>
      <c r="B6697" s="2" t="s">
        <v>5864</v>
      </c>
      <c r="C6697" s="2" t="s">
        <v>5994</v>
      </c>
      <c r="D6697" s="3" t="str">
        <f t="shared" si="1271"/>
        <v>12Go Link</v>
      </c>
      <c r="E6697" s="2" t="s">
        <v>193</v>
      </c>
    </row>
    <row r="6698">
      <c r="A6698" s="2" t="s">
        <v>194</v>
      </c>
      <c r="B6698" s="2" t="s">
        <v>5868</v>
      </c>
      <c r="C6698" s="2" t="s">
        <v>5995</v>
      </c>
      <c r="D6698" s="3" t="str">
        <f t="shared" ref="D6698:D6700" si="1272">HYPERLINK("https://12go.asia/en/travel/Victoria-Falls-Airport/Livingstone-Hotel-Transfer", "12Go Link")</f>
        <v>12Go Link</v>
      </c>
      <c r="E6698" s="2" t="s">
        <v>191</v>
      </c>
    </row>
    <row r="6699">
      <c r="A6699" s="2" t="s">
        <v>194</v>
      </c>
      <c r="B6699" s="2" t="s">
        <v>5868</v>
      </c>
      <c r="C6699" s="2" t="s">
        <v>5995</v>
      </c>
      <c r="D6699" s="3" t="str">
        <f t="shared" si="1272"/>
        <v>12Go Link</v>
      </c>
      <c r="E6699" s="2" t="s">
        <v>192</v>
      </c>
    </row>
    <row r="6700">
      <c r="A6700" s="2" t="s">
        <v>194</v>
      </c>
      <c r="B6700" s="2" t="s">
        <v>5868</v>
      </c>
      <c r="C6700" s="2" t="s">
        <v>5995</v>
      </c>
      <c r="D6700" s="3" t="str">
        <f t="shared" si="1272"/>
        <v>12Go Link</v>
      </c>
      <c r="E6700" s="2" t="s">
        <v>193</v>
      </c>
    </row>
    <row r="6701">
      <c r="A6701" s="2" t="s">
        <v>194</v>
      </c>
      <c r="B6701" s="2" t="s">
        <v>194</v>
      </c>
      <c r="C6701" s="2" t="s">
        <v>5996</v>
      </c>
      <c r="D6701" s="3" t="str">
        <f t="shared" ref="D6701:D6703" si="1273">HYPERLINK("https://12go.asia/en/travel/Victoria-Falls-Airport/Victoria-Falls-Hotel-Transfer", "12Go Link")</f>
        <v>12Go Link</v>
      </c>
      <c r="E6701" s="2" t="s">
        <v>191</v>
      </c>
    </row>
    <row r="6702">
      <c r="A6702" s="2" t="s">
        <v>194</v>
      </c>
      <c r="B6702" s="2" t="s">
        <v>194</v>
      </c>
      <c r="C6702" s="2" t="s">
        <v>5996</v>
      </c>
      <c r="D6702" s="3" t="str">
        <f t="shared" si="1273"/>
        <v>12Go Link</v>
      </c>
      <c r="E6702" s="2" t="s">
        <v>192</v>
      </c>
    </row>
    <row r="6703">
      <c r="A6703" s="2" t="s">
        <v>194</v>
      </c>
      <c r="B6703" s="2" t="s">
        <v>194</v>
      </c>
      <c r="C6703" s="2" t="s">
        <v>5996</v>
      </c>
      <c r="D6703" s="3" t="str">
        <f t="shared" si="1273"/>
        <v>12Go Link</v>
      </c>
      <c r="E6703" s="2" t="s">
        <v>193</v>
      </c>
    </row>
    <row r="6704">
      <c r="A6704" s="2" t="s">
        <v>194</v>
      </c>
      <c r="B6704" s="2" t="s">
        <v>194</v>
      </c>
      <c r="C6704" s="2" t="s">
        <v>5997</v>
      </c>
      <c r="D6704" s="3" t="str">
        <f t="shared" ref="D6704:D6706" si="1274">HYPERLINK("https://12go.asia/en/travel/Victoria-Falls-Hotel-Transfer/Victoria-Falls-Airport", "12Go Link")</f>
        <v>12Go Link</v>
      </c>
      <c r="E6704" s="2" t="s">
        <v>191</v>
      </c>
    </row>
    <row r="6705">
      <c r="A6705" s="2" t="s">
        <v>194</v>
      </c>
      <c r="B6705" s="2" t="s">
        <v>194</v>
      </c>
      <c r="C6705" s="2" t="s">
        <v>5997</v>
      </c>
      <c r="D6705" s="3" t="str">
        <f t="shared" si="1274"/>
        <v>12Go Link</v>
      </c>
      <c r="E6705" s="2" t="s">
        <v>192</v>
      </c>
    </row>
    <row r="6706">
      <c r="A6706" s="2" t="s">
        <v>194</v>
      </c>
      <c r="B6706" s="2" t="s">
        <v>194</v>
      </c>
      <c r="C6706" s="2" t="s">
        <v>5997</v>
      </c>
      <c r="D6706" s="3" t="str">
        <f t="shared" si="1274"/>
        <v>12Go Link</v>
      </c>
      <c r="E6706" s="2" t="s">
        <v>193</v>
      </c>
    </row>
    <row r="6707">
      <c r="A6707" s="4"/>
      <c r="B6707" s="4"/>
      <c r="C6707" s="4"/>
      <c r="D6707" s="4"/>
      <c r="E6707" s="4"/>
    </row>
    <row r="6708">
      <c r="A6708" s="4"/>
      <c r="B6708" s="4"/>
      <c r="C6708" s="4"/>
      <c r="D6708" s="4"/>
      <c r="E6708" s="4"/>
    </row>
    <row r="6709">
      <c r="A6709" s="4"/>
      <c r="B6709" s="4"/>
      <c r="C6709" s="4"/>
      <c r="D6709" s="4"/>
      <c r="E6709" s="4"/>
    </row>
    <row r="6710">
      <c r="A6710" s="4"/>
      <c r="B6710" s="4"/>
      <c r="C6710" s="4"/>
      <c r="D6710" s="4"/>
      <c r="E6710" s="4"/>
    </row>
    <row r="6711">
      <c r="A6711" s="4"/>
      <c r="B6711" s="4"/>
      <c r="C6711" s="4"/>
      <c r="D6711" s="4"/>
      <c r="E6711" s="4"/>
    </row>
    <row r="6712">
      <c r="A6712" s="4"/>
      <c r="B6712" s="4"/>
      <c r="C6712" s="4"/>
      <c r="D6712" s="4"/>
      <c r="E6712" s="4"/>
    </row>
    <row r="6713">
      <c r="A6713" s="4"/>
      <c r="B6713" s="4"/>
      <c r="C6713" s="4"/>
      <c r="D6713" s="4"/>
      <c r="E6713" s="4"/>
    </row>
    <row r="6714">
      <c r="A6714" s="4"/>
      <c r="B6714" s="4"/>
      <c r="C6714" s="4"/>
      <c r="D6714" s="4"/>
      <c r="E6714" s="4"/>
    </row>
    <row r="6715">
      <c r="A6715" s="4"/>
      <c r="B6715" s="4"/>
      <c r="C6715" s="4"/>
      <c r="D6715" s="4"/>
      <c r="E6715" s="4"/>
    </row>
    <row r="6716">
      <c r="A6716" s="4"/>
      <c r="B6716" s="4"/>
      <c r="C6716" s="4"/>
      <c r="D6716" s="4"/>
      <c r="E6716" s="4"/>
    </row>
    <row r="6717">
      <c r="A6717" s="4"/>
      <c r="B6717" s="4"/>
      <c r="C6717" s="4"/>
      <c r="D6717" s="4"/>
      <c r="E6717" s="4"/>
    </row>
    <row r="6718">
      <c r="A6718" s="4"/>
      <c r="B6718" s="4"/>
      <c r="C6718" s="4"/>
      <c r="D6718" s="4"/>
      <c r="E6718" s="4"/>
    </row>
    <row r="6719">
      <c r="A6719" s="4"/>
      <c r="B6719" s="4"/>
      <c r="C6719" s="4"/>
      <c r="D6719" s="4"/>
      <c r="E6719" s="4"/>
    </row>
    <row r="6720">
      <c r="A6720" s="4"/>
      <c r="B6720" s="4"/>
      <c r="C6720" s="4"/>
      <c r="D6720" s="4"/>
      <c r="E6720" s="4"/>
    </row>
    <row r="6721">
      <c r="A6721" s="4"/>
      <c r="B6721" s="4"/>
      <c r="C6721" s="4"/>
      <c r="D6721" s="4"/>
      <c r="E6721" s="4"/>
    </row>
    <row r="6722">
      <c r="A6722" s="4"/>
      <c r="B6722" s="4"/>
      <c r="C6722" s="4"/>
      <c r="D6722" s="4"/>
      <c r="E6722" s="4"/>
    </row>
    <row r="6723">
      <c r="A6723" s="4"/>
      <c r="B6723" s="4"/>
      <c r="C6723" s="4"/>
      <c r="D6723" s="4"/>
      <c r="E6723" s="4"/>
    </row>
    <row r="6724">
      <c r="A6724" s="4"/>
      <c r="B6724" s="4"/>
      <c r="C6724" s="4"/>
      <c r="D6724" s="4"/>
      <c r="E6724" s="4"/>
    </row>
    <row r="6725">
      <c r="A6725" s="4"/>
      <c r="B6725" s="4"/>
      <c r="C6725" s="4"/>
      <c r="D6725" s="4"/>
      <c r="E6725" s="4"/>
    </row>
    <row r="6726">
      <c r="A6726" s="4"/>
      <c r="B6726" s="4"/>
      <c r="C6726" s="4"/>
      <c r="D6726" s="4"/>
      <c r="E6726" s="4"/>
    </row>
    <row r="6727">
      <c r="A6727" s="4"/>
      <c r="B6727" s="4"/>
      <c r="C6727" s="4"/>
      <c r="D6727" s="4"/>
      <c r="E6727" s="4"/>
    </row>
    <row r="6728">
      <c r="A6728" s="4"/>
      <c r="B6728" s="4"/>
      <c r="C6728" s="4"/>
      <c r="D6728" s="4"/>
      <c r="E6728" s="4"/>
    </row>
    <row r="6729">
      <c r="A6729" s="4"/>
      <c r="B6729" s="4"/>
      <c r="C6729" s="4"/>
      <c r="D6729" s="4"/>
      <c r="E6729" s="4"/>
    </row>
    <row r="6730">
      <c r="A6730" s="4"/>
      <c r="B6730" s="4"/>
      <c r="C6730" s="4"/>
      <c r="D6730" s="4"/>
      <c r="E6730" s="4"/>
    </row>
    <row r="6731">
      <c r="A6731" s="4"/>
      <c r="B6731" s="4"/>
      <c r="C6731" s="4"/>
      <c r="D6731" s="4"/>
      <c r="E6731" s="4"/>
    </row>
    <row r="6732">
      <c r="A6732" s="4"/>
      <c r="B6732" s="4"/>
      <c r="C6732" s="4"/>
      <c r="D6732" s="4"/>
      <c r="E6732" s="4"/>
    </row>
    <row r="6733">
      <c r="A6733" s="4"/>
      <c r="B6733" s="4"/>
      <c r="C6733" s="4"/>
      <c r="D6733" s="4"/>
      <c r="E6733" s="4"/>
    </row>
    <row r="6734">
      <c r="A6734" s="4"/>
      <c r="B6734" s="4"/>
      <c r="C6734" s="4"/>
      <c r="D6734" s="4"/>
      <c r="E6734" s="4"/>
    </row>
    <row r="6735">
      <c r="A6735" s="4"/>
      <c r="B6735" s="4"/>
      <c r="C6735" s="4"/>
      <c r="D6735" s="4"/>
      <c r="E6735" s="4"/>
    </row>
    <row r="6736">
      <c r="A6736" s="4"/>
      <c r="B6736" s="4"/>
      <c r="C6736" s="4"/>
      <c r="D6736" s="4"/>
      <c r="E6736" s="4"/>
    </row>
    <row r="6737">
      <c r="A6737" s="4"/>
      <c r="B6737" s="4"/>
      <c r="C6737" s="4"/>
      <c r="D6737" s="4"/>
      <c r="E6737" s="4"/>
    </row>
    <row r="6738">
      <c r="A6738" s="4"/>
      <c r="B6738" s="4"/>
      <c r="C6738" s="4"/>
      <c r="D6738" s="4"/>
      <c r="E6738" s="4"/>
    </row>
    <row r="6739">
      <c r="A6739" s="4"/>
      <c r="B6739" s="4"/>
      <c r="C6739" s="4"/>
      <c r="D6739" s="4"/>
      <c r="E6739" s="4"/>
    </row>
    <row r="6740">
      <c r="A6740" s="4"/>
      <c r="B6740" s="4"/>
      <c r="C6740" s="4"/>
      <c r="D6740" s="4"/>
      <c r="E6740" s="4"/>
    </row>
    <row r="6741">
      <c r="A6741" s="4"/>
      <c r="B6741" s="4"/>
      <c r="C6741" s="4"/>
      <c r="D6741" s="4"/>
      <c r="E6741" s="4"/>
    </row>
    <row r="6742">
      <c r="A6742" s="4"/>
      <c r="B6742" s="4"/>
      <c r="C6742" s="4"/>
      <c r="D6742" s="4"/>
      <c r="E6742" s="4"/>
    </row>
    <row r="6743">
      <c r="A6743" s="4"/>
      <c r="B6743" s="4"/>
      <c r="C6743" s="4"/>
      <c r="D6743" s="4"/>
      <c r="E6743" s="4"/>
    </row>
    <row r="6744">
      <c r="A6744" s="4"/>
      <c r="B6744" s="4"/>
      <c r="C6744" s="4"/>
      <c r="D6744" s="4"/>
      <c r="E6744" s="4"/>
    </row>
    <row r="6745">
      <c r="A6745" s="4"/>
      <c r="B6745" s="4"/>
      <c r="C6745" s="4"/>
      <c r="D6745" s="4"/>
      <c r="E6745" s="4"/>
    </row>
    <row r="6746">
      <c r="A6746" s="4"/>
      <c r="B6746" s="4"/>
      <c r="C6746" s="4"/>
      <c r="D6746" s="4"/>
      <c r="E6746" s="4"/>
    </row>
    <row r="6747">
      <c r="A6747" s="4"/>
      <c r="B6747" s="4"/>
      <c r="C6747" s="4"/>
      <c r="D6747" s="4"/>
      <c r="E6747" s="4"/>
    </row>
    <row r="6748">
      <c r="A6748" s="4"/>
      <c r="B6748" s="4"/>
      <c r="C6748" s="4"/>
      <c r="D6748" s="4"/>
      <c r="E6748" s="4"/>
    </row>
    <row r="6749">
      <c r="A6749" s="4"/>
      <c r="B6749" s="4"/>
      <c r="C6749" s="4"/>
      <c r="D6749" s="4"/>
      <c r="E6749" s="4"/>
    </row>
    <row r="6750">
      <c r="A6750" s="4"/>
      <c r="B6750" s="4"/>
      <c r="C6750" s="4"/>
      <c r="D6750" s="4"/>
      <c r="E6750" s="4"/>
    </row>
    <row r="6751">
      <c r="A6751" s="4"/>
      <c r="B6751" s="4"/>
      <c r="C6751" s="4"/>
      <c r="D6751" s="4"/>
      <c r="E6751" s="4"/>
    </row>
    <row r="6752">
      <c r="A6752" s="4"/>
      <c r="B6752" s="4"/>
      <c r="C6752" s="4"/>
      <c r="D6752" s="4"/>
      <c r="E6752" s="4"/>
    </row>
    <row r="6753">
      <c r="A6753" s="4"/>
      <c r="B6753" s="4"/>
      <c r="C6753" s="4"/>
      <c r="D6753" s="4"/>
      <c r="E6753" s="4"/>
    </row>
    <row r="6754">
      <c r="A6754" s="4"/>
      <c r="B6754" s="4"/>
      <c r="C6754" s="4"/>
      <c r="D6754" s="4"/>
      <c r="E6754" s="4"/>
    </row>
    <row r="6755">
      <c r="A6755" s="4"/>
      <c r="B6755" s="4"/>
      <c r="C6755" s="4"/>
      <c r="D6755" s="4"/>
      <c r="E6755" s="4"/>
    </row>
    <row r="6756">
      <c r="A6756" s="4"/>
      <c r="B6756" s="4"/>
      <c r="C6756" s="4"/>
      <c r="D6756" s="4"/>
      <c r="E6756" s="4"/>
    </row>
    <row r="6757">
      <c r="A6757" s="4"/>
      <c r="B6757" s="4"/>
      <c r="C6757" s="4"/>
      <c r="D6757" s="4"/>
      <c r="E6757" s="4"/>
    </row>
    <row r="6758">
      <c r="A6758" s="4"/>
      <c r="B6758" s="4"/>
      <c r="C6758" s="4"/>
      <c r="D6758" s="4"/>
      <c r="E6758" s="4"/>
    </row>
    <row r="6759">
      <c r="A6759" s="4"/>
      <c r="B6759" s="4"/>
      <c r="C6759" s="4"/>
      <c r="D6759" s="4"/>
      <c r="E6759" s="4"/>
    </row>
    <row r="6760">
      <c r="A6760" s="4"/>
      <c r="B6760" s="4"/>
      <c r="C6760" s="4"/>
      <c r="D6760" s="4"/>
      <c r="E6760" s="4"/>
    </row>
    <row r="6761">
      <c r="A6761" s="4"/>
      <c r="B6761" s="4"/>
      <c r="C6761" s="4"/>
      <c r="D6761" s="4"/>
      <c r="E6761" s="4"/>
    </row>
    <row r="6762">
      <c r="A6762" s="4"/>
      <c r="B6762" s="4"/>
      <c r="C6762" s="4"/>
      <c r="D6762" s="4"/>
      <c r="E6762" s="4"/>
    </row>
    <row r="6763">
      <c r="A6763" s="4"/>
      <c r="B6763" s="4"/>
      <c r="C6763" s="4"/>
      <c r="D6763" s="4"/>
      <c r="E6763" s="4"/>
    </row>
    <row r="6764">
      <c r="A6764" s="4"/>
      <c r="B6764" s="4"/>
      <c r="C6764" s="4"/>
      <c r="D6764" s="4"/>
      <c r="E6764" s="4"/>
    </row>
    <row r="6765">
      <c r="A6765" s="4"/>
      <c r="B6765" s="4"/>
      <c r="C6765" s="4"/>
      <c r="D6765" s="4"/>
      <c r="E6765" s="4"/>
    </row>
    <row r="6766">
      <c r="A6766" s="4"/>
      <c r="B6766" s="4"/>
      <c r="C6766" s="4"/>
      <c r="D6766" s="4"/>
      <c r="E6766" s="4"/>
    </row>
    <row r="6767">
      <c r="A6767" s="4"/>
      <c r="B6767" s="4"/>
      <c r="C6767" s="4"/>
      <c r="D6767" s="4"/>
      <c r="E6767" s="4"/>
    </row>
    <row r="6768">
      <c r="A6768" s="4"/>
      <c r="B6768" s="4"/>
      <c r="C6768" s="4"/>
      <c r="D6768" s="4"/>
      <c r="E6768" s="4"/>
    </row>
    <row r="6769">
      <c r="A6769" s="4"/>
      <c r="B6769" s="4"/>
      <c r="C6769" s="4"/>
      <c r="D6769" s="4"/>
      <c r="E6769" s="4"/>
    </row>
    <row r="6770">
      <c r="A6770" s="4"/>
      <c r="B6770" s="4"/>
      <c r="C6770" s="4"/>
      <c r="D6770" s="4"/>
      <c r="E6770" s="4"/>
    </row>
    <row r="6771">
      <c r="A6771" s="4"/>
      <c r="B6771" s="4"/>
      <c r="C6771" s="4"/>
      <c r="D6771" s="4"/>
      <c r="E6771" s="4"/>
    </row>
    <row r="6772">
      <c r="A6772" s="4"/>
      <c r="B6772" s="4"/>
      <c r="C6772" s="4"/>
      <c r="D6772" s="4"/>
      <c r="E6772" s="4"/>
    </row>
    <row r="6773">
      <c r="A6773" s="4"/>
      <c r="B6773" s="4"/>
      <c r="C6773" s="4"/>
      <c r="D6773" s="4"/>
      <c r="E6773" s="4"/>
    </row>
    <row r="6774">
      <c r="A6774" s="4"/>
      <c r="B6774" s="4"/>
      <c r="C6774" s="4"/>
      <c r="D6774" s="4"/>
      <c r="E6774" s="4"/>
    </row>
    <row r="6775">
      <c r="A6775" s="4"/>
      <c r="B6775" s="4"/>
      <c r="C6775" s="4"/>
      <c r="D6775" s="4"/>
      <c r="E6775" s="4"/>
    </row>
    <row r="6776">
      <c r="A6776" s="4"/>
      <c r="B6776" s="4"/>
      <c r="C6776" s="4"/>
      <c r="D6776" s="4"/>
      <c r="E6776" s="4"/>
    </row>
    <row r="6777">
      <c r="A6777" s="4"/>
      <c r="B6777" s="4"/>
      <c r="C6777" s="4"/>
      <c r="D6777" s="4"/>
      <c r="E6777" s="4"/>
    </row>
    <row r="6778">
      <c r="A6778" s="4"/>
      <c r="B6778" s="4"/>
      <c r="C6778" s="4"/>
      <c r="D6778" s="4"/>
      <c r="E6778" s="4"/>
    </row>
    <row r="6779">
      <c r="A6779" s="4"/>
      <c r="B6779" s="4"/>
      <c r="C6779" s="4"/>
      <c r="D6779" s="4"/>
      <c r="E6779" s="4"/>
    </row>
    <row r="6780">
      <c r="A6780" s="4"/>
      <c r="B6780" s="4"/>
      <c r="C6780" s="4"/>
      <c r="D6780" s="4"/>
      <c r="E6780" s="4"/>
    </row>
    <row r="6781">
      <c r="A6781" s="4"/>
      <c r="B6781" s="4"/>
      <c r="C6781" s="4"/>
      <c r="D6781" s="4"/>
      <c r="E6781" s="4"/>
    </row>
    <row r="6782">
      <c r="A6782" s="4"/>
      <c r="B6782" s="4"/>
      <c r="C6782" s="4"/>
      <c r="D6782" s="4"/>
      <c r="E6782" s="4"/>
    </row>
    <row r="6783">
      <c r="A6783" s="4"/>
      <c r="B6783" s="4"/>
      <c r="C6783" s="4"/>
      <c r="D6783" s="4"/>
      <c r="E6783" s="4"/>
    </row>
    <row r="6784">
      <c r="A6784" s="4"/>
      <c r="B6784" s="4"/>
      <c r="C6784" s="4"/>
      <c r="D6784" s="4"/>
      <c r="E6784" s="4"/>
    </row>
    <row r="6785">
      <c r="A6785" s="4"/>
      <c r="B6785" s="4"/>
      <c r="C6785" s="4"/>
      <c r="D6785" s="4"/>
      <c r="E6785" s="4"/>
    </row>
    <row r="6786">
      <c r="A6786" s="4"/>
      <c r="B6786" s="4"/>
      <c r="C6786" s="4"/>
      <c r="D6786" s="4"/>
      <c r="E6786" s="4"/>
    </row>
    <row r="6787">
      <c r="A6787" s="4"/>
      <c r="B6787" s="4"/>
      <c r="C6787" s="4"/>
      <c r="D6787" s="4"/>
      <c r="E6787" s="4"/>
    </row>
    <row r="6788">
      <c r="A6788" s="4"/>
      <c r="B6788" s="4"/>
      <c r="C6788" s="4"/>
      <c r="D6788" s="4"/>
      <c r="E6788" s="4"/>
    </row>
    <row r="6789">
      <c r="A6789" s="4"/>
      <c r="B6789" s="4"/>
      <c r="C6789" s="4"/>
      <c r="D6789" s="4"/>
      <c r="E6789" s="4"/>
    </row>
    <row r="6790">
      <c r="A6790" s="4"/>
      <c r="B6790" s="4"/>
      <c r="C6790" s="4"/>
      <c r="D6790" s="4"/>
      <c r="E6790" s="4"/>
    </row>
    <row r="6791">
      <c r="A6791" s="4"/>
      <c r="B6791" s="4"/>
      <c r="C6791" s="4"/>
      <c r="D6791" s="4"/>
      <c r="E6791" s="4"/>
    </row>
    <row r="6792">
      <c r="A6792" s="4"/>
      <c r="B6792" s="4"/>
      <c r="C6792" s="4"/>
      <c r="D6792" s="4"/>
      <c r="E6792" s="4"/>
    </row>
    <row r="6793">
      <c r="A6793" s="4"/>
      <c r="B6793" s="4"/>
      <c r="C6793" s="4"/>
      <c r="D6793" s="4"/>
      <c r="E6793" s="4"/>
    </row>
    <row r="6794">
      <c r="A6794" s="4"/>
      <c r="B6794" s="4"/>
      <c r="C6794" s="4"/>
      <c r="D6794" s="4"/>
      <c r="E6794" s="4"/>
    </row>
    <row r="6795">
      <c r="A6795" s="4"/>
      <c r="B6795" s="4"/>
      <c r="C6795" s="4"/>
      <c r="D6795" s="4"/>
      <c r="E6795" s="4"/>
    </row>
    <row r="6796">
      <c r="A6796" s="4"/>
      <c r="B6796" s="4"/>
      <c r="C6796" s="4"/>
      <c r="D6796" s="4"/>
      <c r="E6796" s="4"/>
    </row>
    <row r="6797">
      <c r="A6797" s="4"/>
      <c r="B6797" s="4"/>
      <c r="C6797" s="4"/>
      <c r="D6797" s="4"/>
      <c r="E6797" s="4"/>
    </row>
    <row r="6798">
      <c r="A6798" s="4"/>
      <c r="B6798" s="4"/>
      <c r="C6798" s="4"/>
      <c r="D6798" s="4"/>
      <c r="E6798" s="4"/>
    </row>
    <row r="6799">
      <c r="A6799" s="4"/>
      <c r="B6799" s="4"/>
      <c r="C6799" s="4"/>
      <c r="D6799" s="4"/>
      <c r="E6799" s="4"/>
    </row>
    <row r="6800">
      <c r="A6800" s="4"/>
      <c r="B6800" s="4"/>
      <c r="C6800" s="4"/>
      <c r="D6800" s="4"/>
      <c r="E6800" s="4"/>
    </row>
    <row r="6801">
      <c r="A6801" s="4"/>
      <c r="B6801" s="4"/>
      <c r="C6801" s="4"/>
      <c r="D6801" s="4"/>
      <c r="E6801" s="4"/>
    </row>
    <row r="6802">
      <c r="A6802" s="4"/>
      <c r="B6802" s="4"/>
      <c r="C6802" s="4"/>
      <c r="D6802" s="4"/>
      <c r="E6802" s="4"/>
    </row>
    <row r="6803">
      <c r="A6803" s="4"/>
      <c r="B6803" s="4"/>
      <c r="C6803" s="4"/>
      <c r="D6803" s="4"/>
      <c r="E6803" s="4"/>
    </row>
    <row r="6804">
      <c r="A6804" s="4"/>
      <c r="B6804" s="4"/>
      <c r="C6804" s="4"/>
      <c r="D6804" s="4"/>
      <c r="E6804" s="4"/>
    </row>
    <row r="6805">
      <c r="A6805" s="4"/>
      <c r="B6805" s="4"/>
      <c r="C6805" s="4"/>
      <c r="D6805" s="4"/>
      <c r="E6805" s="4"/>
    </row>
    <row r="6806">
      <c r="A6806" s="4"/>
      <c r="B6806" s="4"/>
      <c r="C6806" s="4"/>
      <c r="D6806" s="4"/>
      <c r="E6806" s="4"/>
    </row>
    <row r="6807">
      <c r="A6807" s="4"/>
      <c r="B6807" s="4"/>
      <c r="C6807" s="4"/>
      <c r="D6807" s="4"/>
      <c r="E6807" s="4"/>
    </row>
    <row r="6808">
      <c r="A6808" s="4"/>
      <c r="B6808" s="4"/>
      <c r="C6808" s="4"/>
      <c r="D6808" s="4"/>
      <c r="E6808" s="4"/>
    </row>
    <row r="6809">
      <c r="A6809" s="4"/>
      <c r="B6809" s="4"/>
      <c r="C6809" s="4"/>
      <c r="D6809" s="4"/>
      <c r="E6809" s="4"/>
    </row>
    <row r="6810">
      <c r="A6810" s="4"/>
      <c r="B6810" s="4"/>
      <c r="C6810" s="4"/>
      <c r="D6810" s="4"/>
      <c r="E6810" s="4"/>
    </row>
    <row r="6811">
      <c r="A6811" s="4"/>
      <c r="B6811" s="4"/>
      <c r="C6811" s="4"/>
      <c r="D6811" s="4"/>
      <c r="E6811" s="4"/>
    </row>
    <row r="6812">
      <c r="A6812" s="4"/>
      <c r="B6812" s="4"/>
      <c r="C6812" s="4"/>
      <c r="D6812" s="4"/>
      <c r="E6812" s="4"/>
    </row>
    <row r="6813">
      <c r="A6813" s="4"/>
      <c r="B6813" s="4"/>
      <c r="C6813" s="4"/>
      <c r="D6813" s="4"/>
      <c r="E6813" s="4"/>
    </row>
    <row r="6814">
      <c r="A6814" s="4"/>
      <c r="B6814" s="4"/>
      <c r="C6814" s="4"/>
      <c r="D6814" s="4"/>
      <c r="E6814" s="4"/>
    </row>
    <row r="6815">
      <c r="A6815" s="4"/>
      <c r="B6815" s="4"/>
      <c r="C6815" s="4"/>
      <c r="D6815" s="4"/>
      <c r="E6815" s="4"/>
    </row>
    <row r="6816">
      <c r="A6816" s="4"/>
      <c r="B6816" s="4"/>
      <c r="C6816" s="4"/>
      <c r="D6816" s="4"/>
      <c r="E6816" s="4"/>
    </row>
    <row r="6817">
      <c r="A6817" s="4"/>
      <c r="B6817" s="4"/>
      <c r="C6817" s="4"/>
      <c r="D6817" s="4"/>
      <c r="E6817" s="4"/>
    </row>
    <row r="6818">
      <c r="A6818" s="4"/>
      <c r="B6818" s="4"/>
      <c r="C6818" s="4"/>
      <c r="D6818" s="4"/>
      <c r="E6818" s="4"/>
    </row>
    <row r="6819">
      <c r="A6819" s="4"/>
      <c r="B6819" s="4"/>
      <c r="C6819" s="4"/>
      <c r="D6819" s="4"/>
      <c r="E6819" s="4"/>
    </row>
    <row r="6820">
      <c r="A6820" s="4"/>
      <c r="B6820" s="4"/>
      <c r="C6820" s="4"/>
      <c r="D6820" s="4"/>
      <c r="E6820" s="4"/>
    </row>
    <row r="6821">
      <c r="A6821" s="4"/>
      <c r="B6821" s="4"/>
      <c r="C6821" s="4"/>
      <c r="D6821" s="4"/>
      <c r="E6821" s="4"/>
    </row>
    <row r="6822">
      <c r="A6822" s="4"/>
      <c r="B6822" s="4"/>
      <c r="C6822" s="4"/>
      <c r="D6822" s="4"/>
      <c r="E6822" s="4"/>
    </row>
    <row r="6823">
      <c r="A6823" s="4"/>
      <c r="B6823" s="4"/>
      <c r="C6823" s="4"/>
      <c r="D6823" s="4"/>
      <c r="E6823" s="4"/>
    </row>
    <row r="6824">
      <c r="A6824" s="4"/>
      <c r="B6824" s="4"/>
      <c r="C6824" s="4"/>
      <c r="D6824" s="4"/>
      <c r="E6824" s="4"/>
    </row>
    <row r="6825">
      <c r="A6825" s="4"/>
      <c r="B6825" s="4"/>
      <c r="C6825" s="4"/>
      <c r="D6825" s="4"/>
      <c r="E6825" s="4"/>
    </row>
    <row r="6826">
      <c r="A6826" s="4"/>
      <c r="B6826" s="4"/>
      <c r="C6826" s="4"/>
      <c r="D6826" s="4"/>
      <c r="E6826" s="4"/>
    </row>
    <row r="6827">
      <c r="A6827" s="4"/>
      <c r="B6827" s="4"/>
      <c r="C6827" s="4"/>
      <c r="D6827" s="4"/>
      <c r="E6827" s="4"/>
    </row>
    <row r="6828">
      <c r="A6828" s="4"/>
      <c r="B6828" s="4"/>
      <c r="C6828" s="4"/>
      <c r="D6828" s="4"/>
      <c r="E6828" s="4"/>
    </row>
    <row r="6829">
      <c r="A6829" s="4"/>
      <c r="B6829" s="4"/>
      <c r="C6829" s="4"/>
      <c r="D6829" s="4"/>
      <c r="E6829" s="4"/>
    </row>
    <row r="6830">
      <c r="A6830" s="4"/>
      <c r="B6830" s="4"/>
      <c r="C6830" s="4"/>
      <c r="D6830" s="4"/>
      <c r="E6830" s="4"/>
    </row>
    <row r="6831">
      <c r="A6831" s="4"/>
      <c r="B6831" s="4"/>
      <c r="C6831" s="4"/>
      <c r="D6831" s="4"/>
      <c r="E6831" s="4"/>
    </row>
    <row r="6832">
      <c r="A6832" s="4"/>
      <c r="B6832" s="4"/>
      <c r="C6832" s="4"/>
      <c r="D6832" s="4"/>
      <c r="E6832" s="4"/>
    </row>
    <row r="6833">
      <c r="A6833" s="4"/>
      <c r="B6833" s="4"/>
      <c r="C6833" s="4"/>
      <c r="D6833" s="4"/>
      <c r="E6833" s="4"/>
    </row>
    <row r="6834">
      <c r="A6834" s="4"/>
      <c r="B6834" s="4"/>
      <c r="C6834" s="4"/>
      <c r="D6834" s="4"/>
      <c r="E6834" s="4"/>
    </row>
    <row r="6835">
      <c r="A6835" s="4"/>
      <c r="B6835" s="4"/>
      <c r="C6835" s="4"/>
      <c r="D6835" s="4"/>
      <c r="E6835" s="4"/>
    </row>
    <row r="6836">
      <c r="A6836" s="4"/>
      <c r="B6836" s="4"/>
      <c r="C6836" s="4"/>
      <c r="D6836" s="4"/>
      <c r="E6836" s="4"/>
    </row>
    <row r="6837">
      <c r="A6837" s="4"/>
      <c r="B6837" s="4"/>
      <c r="C6837" s="4"/>
      <c r="D6837" s="4"/>
      <c r="E6837" s="4"/>
    </row>
    <row r="6838">
      <c r="A6838" s="4"/>
      <c r="B6838" s="4"/>
      <c r="C6838" s="4"/>
      <c r="D6838" s="4"/>
      <c r="E6838" s="4"/>
    </row>
    <row r="6839">
      <c r="A6839" s="4"/>
      <c r="B6839" s="4"/>
      <c r="C6839" s="4"/>
      <c r="D6839" s="4"/>
      <c r="E6839" s="4"/>
    </row>
    <row r="6840">
      <c r="A6840" s="4"/>
      <c r="B6840" s="4"/>
      <c r="C6840" s="4"/>
      <c r="D6840" s="4"/>
      <c r="E6840" s="4"/>
    </row>
    <row r="6841">
      <c r="A6841" s="4"/>
      <c r="B6841" s="4"/>
      <c r="C6841" s="4"/>
      <c r="D6841" s="4"/>
      <c r="E6841" s="4"/>
    </row>
    <row r="6842">
      <c r="A6842" s="4"/>
      <c r="B6842" s="4"/>
      <c r="C6842" s="4"/>
      <c r="D6842" s="4"/>
      <c r="E6842" s="4"/>
    </row>
    <row r="6843">
      <c r="A6843" s="4"/>
      <c r="B6843" s="4"/>
      <c r="C6843" s="4"/>
      <c r="D6843" s="4"/>
      <c r="E6843" s="4"/>
    </row>
    <row r="6844">
      <c r="A6844" s="4"/>
      <c r="B6844" s="4"/>
      <c r="C6844" s="4"/>
      <c r="D6844" s="4"/>
      <c r="E6844" s="4"/>
    </row>
    <row r="6845">
      <c r="A6845" s="4"/>
      <c r="B6845" s="4"/>
      <c r="C6845" s="4"/>
      <c r="D6845" s="4"/>
      <c r="E6845" s="4"/>
    </row>
    <row r="6846">
      <c r="A6846" s="4"/>
      <c r="B6846" s="4"/>
      <c r="C6846" s="4"/>
      <c r="D6846" s="4"/>
      <c r="E6846" s="4"/>
    </row>
    <row r="6847">
      <c r="A6847" s="4"/>
      <c r="B6847" s="4"/>
      <c r="C6847" s="4"/>
      <c r="D6847" s="4"/>
      <c r="E6847" s="4"/>
    </row>
    <row r="6848">
      <c r="A6848" s="4"/>
      <c r="B6848" s="4"/>
      <c r="C6848" s="4"/>
      <c r="D6848" s="4"/>
      <c r="E6848" s="4"/>
    </row>
    <row r="6849">
      <c r="A6849" s="4"/>
      <c r="B6849" s="4"/>
      <c r="C6849" s="4"/>
      <c r="D6849" s="4"/>
      <c r="E6849" s="4"/>
    </row>
    <row r="6850">
      <c r="A6850" s="4"/>
      <c r="B6850" s="4"/>
      <c r="C6850" s="4"/>
      <c r="D6850" s="4"/>
      <c r="E6850" s="4"/>
    </row>
    <row r="6851">
      <c r="A6851" s="4"/>
      <c r="B6851" s="4"/>
      <c r="C6851" s="4"/>
      <c r="D6851" s="4"/>
      <c r="E6851" s="4"/>
    </row>
    <row r="6852">
      <c r="A6852" s="4"/>
      <c r="B6852" s="4"/>
      <c r="C6852" s="4"/>
      <c r="D6852" s="4"/>
      <c r="E6852" s="4"/>
    </row>
    <row r="6853">
      <c r="A6853" s="4"/>
      <c r="B6853" s="4"/>
      <c r="C6853" s="4"/>
      <c r="D6853" s="4"/>
      <c r="E6853" s="4"/>
    </row>
    <row r="6854">
      <c r="A6854" s="4"/>
      <c r="B6854" s="4"/>
      <c r="C6854" s="4"/>
      <c r="D6854" s="4"/>
      <c r="E6854" s="4"/>
    </row>
    <row r="6855">
      <c r="A6855" s="4"/>
      <c r="B6855" s="4"/>
      <c r="C6855" s="4"/>
      <c r="D6855" s="4"/>
      <c r="E6855" s="4"/>
    </row>
    <row r="6856">
      <c r="A6856" s="4"/>
      <c r="B6856" s="4"/>
      <c r="C6856" s="4"/>
      <c r="D6856" s="4"/>
      <c r="E6856" s="4"/>
    </row>
    <row r="6857">
      <c r="A6857" s="4"/>
      <c r="B6857" s="4"/>
      <c r="C6857" s="4"/>
      <c r="D6857" s="4"/>
      <c r="E6857" s="4"/>
    </row>
    <row r="6858">
      <c r="A6858" s="4"/>
      <c r="B6858" s="4"/>
      <c r="C6858" s="4"/>
      <c r="D6858" s="4"/>
      <c r="E6858" s="4"/>
    </row>
    <row r="6859">
      <c r="A6859" s="4"/>
      <c r="B6859" s="4"/>
      <c r="C6859" s="4"/>
      <c r="D6859" s="4"/>
      <c r="E6859" s="4"/>
    </row>
    <row r="6860">
      <c r="A6860" s="4"/>
      <c r="B6860" s="4"/>
      <c r="C6860" s="4"/>
      <c r="D6860" s="4"/>
      <c r="E6860" s="4"/>
    </row>
    <row r="6861">
      <c r="A6861" s="4"/>
      <c r="B6861" s="4"/>
      <c r="C6861" s="4"/>
      <c r="D6861" s="4"/>
      <c r="E6861" s="4"/>
    </row>
    <row r="6862">
      <c r="A6862" s="4"/>
      <c r="B6862" s="4"/>
      <c r="C6862" s="4"/>
      <c r="D6862" s="4"/>
      <c r="E6862" s="4"/>
    </row>
    <row r="6863">
      <c r="A6863" s="4"/>
      <c r="B6863" s="4"/>
      <c r="C6863" s="4"/>
      <c r="D6863" s="4"/>
      <c r="E6863" s="4"/>
    </row>
    <row r="6864">
      <c r="A6864" s="4"/>
      <c r="B6864" s="4"/>
      <c r="C6864" s="4"/>
      <c r="D6864" s="4"/>
      <c r="E6864" s="4"/>
    </row>
    <row r="6865">
      <c r="A6865" s="4"/>
      <c r="B6865" s="4"/>
      <c r="C6865" s="4"/>
      <c r="D6865" s="4"/>
      <c r="E6865" s="4"/>
    </row>
    <row r="6866">
      <c r="A6866" s="4"/>
      <c r="B6866" s="4"/>
      <c r="C6866" s="4"/>
      <c r="D6866" s="4"/>
      <c r="E6866" s="4"/>
    </row>
    <row r="6867">
      <c r="A6867" s="4"/>
      <c r="B6867" s="4"/>
      <c r="C6867" s="4"/>
      <c r="D6867" s="4"/>
      <c r="E6867" s="4"/>
    </row>
    <row r="6868">
      <c r="A6868" s="4"/>
      <c r="B6868" s="4"/>
      <c r="C6868" s="4"/>
      <c r="D6868" s="4"/>
      <c r="E6868" s="4"/>
    </row>
    <row r="6869">
      <c r="A6869" s="4"/>
      <c r="B6869" s="4"/>
      <c r="C6869" s="4"/>
      <c r="D6869" s="4"/>
      <c r="E6869" s="4"/>
    </row>
    <row r="6870">
      <c r="A6870" s="4"/>
      <c r="B6870" s="4"/>
      <c r="C6870" s="4"/>
      <c r="D6870" s="4"/>
      <c r="E6870" s="4"/>
    </row>
    <row r="6871">
      <c r="A6871" s="4"/>
      <c r="B6871" s="4"/>
      <c r="C6871" s="4"/>
      <c r="D6871" s="4"/>
      <c r="E6871" s="4"/>
    </row>
    <row r="6872">
      <c r="A6872" s="4"/>
      <c r="B6872" s="4"/>
      <c r="C6872" s="4"/>
      <c r="D6872" s="4"/>
      <c r="E6872" s="4"/>
    </row>
    <row r="6873">
      <c r="A6873" s="4"/>
      <c r="B6873" s="4"/>
      <c r="C6873" s="4"/>
      <c r="D6873" s="4"/>
      <c r="E6873" s="4"/>
    </row>
    <row r="6874">
      <c r="A6874" s="4"/>
      <c r="B6874" s="4"/>
      <c r="C6874" s="4"/>
      <c r="D6874" s="4"/>
      <c r="E6874" s="4"/>
    </row>
    <row r="6875">
      <c r="A6875" s="4"/>
      <c r="B6875" s="4"/>
      <c r="C6875" s="4"/>
      <c r="D6875" s="4"/>
      <c r="E6875" s="4"/>
    </row>
    <row r="6876">
      <c r="A6876" s="4"/>
      <c r="B6876" s="4"/>
      <c r="C6876" s="4"/>
      <c r="D6876" s="4"/>
      <c r="E6876" s="4"/>
    </row>
    <row r="6877">
      <c r="A6877" s="4"/>
      <c r="B6877" s="4"/>
      <c r="C6877" s="4"/>
      <c r="D6877" s="4"/>
      <c r="E6877" s="4"/>
    </row>
    <row r="6878">
      <c r="A6878" s="4"/>
      <c r="B6878" s="4"/>
      <c r="C6878" s="4"/>
      <c r="D6878" s="4"/>
      <c r="E6878" s="4"/>
    </row>
    <row r="6879">
      <c r="A6879" s="4"/>
      <c r="B6879" s="4"/>
      <c r="C6879" s="4"/>
      <c r="D6879" s="4"/>
      <c r="E6879" s="4"/>
    </row>
    <row r="6880">
      <c r="A6880" s="4"/>
      <c r="B6880" s="4"/>
      <c r="C6880" s="4"/>
      <c r="D6880" s="4"/>
      <c r="E6880" s="4"/>
    </row>
    <row r="6881">
      <c r="A6881" s="4"/>
      <c r="B6881" s="4"/>
      <c r="C6881" s="4"/>
      <c r="D6881" s="4"/>
      <c r="E6881" s="4"/>
    </row>
    <row r="6882">
      <c r="A6882" s="4"/>
      <c r="B6882" s="4"/>
      <c r="C6882" s="4"/>
      <c r="D6882" s="4"/>
      <c r="E6882" s="4"/>
    </row>
    <row r="6883">
      <c r="A6883" s="4"/>
      <c r="B6883" s="4"/>
      <c r="C6883" s="4"/>
      <c r="D6883" s="4"/>
      <c r="E6883" s="4"/>
    </row>
    <row r="6884">
      <c r="A6884" s="4"/>
      <c r="B6884" s="4"/>
      <c r="C6884" s="4"/>
      <c r="D6884" s="4"/>
      <c r="E6884" s="4"/>
    </row>
    <row r="6885">
      <c r="A6885" s="4"/>
      <c r="B6885" s="4"/>
      <c r="C6885" s="4"/>
      <c r="D6885" s="4"/>
      <c r="E6885" s="4"/>
    </row>
    <row r="6886">
      <c r="A6886" s="4"/>
      <c r="B6886" s="4"/>
      <c r="C6886" s="4"/>
      <c r="D6886" s="4"/>
      <c r="E6886" s="4"/>
    </row>
    <row r="6887">
      <c r="A6887" s="4"/>
      <c r="B6887" s="4"/>
      <c r="C6887" s="4"/>
      <c r="D6887" s="4"/>
      <c r="E6887" s="4"/>
    </row>
    <row r="6888">
      <c r="A6888" s="4"/>
      <c r="B6888" s="4"/>
      <c r="C6888" s="4"/>
      <c r="D6888" s="4"/>
      <c r="E6888" s="4"/>
    </row>
    <row r="6889">
      <c r="A6889" s="4"/>
      <c r="B6889" s="4"/>
      <c r="C6889" s="4"/>
      <c r="D6889" s="4"/>
      <c r="E6889" s="4"/>
    </row>
    <row r="6890">
      <c r="A6890" s="4"/>
      <c r="B6890" s="4"/>
      <c r="C6890" s="4"/>
      <c r="D6890" s="4"/>
      <c r="E6890" s="4"/>
    </row>
    <row r="6891">
      <c r="A6891" s="4"/>
      <c r="B6891" s="4"/>
      <c r="C6891" s="4"/>
      <c r="D6891" s="4"/>
      <c r="E6891" s="4"/>
    </row>
    <row r="6892">
      <c r="A6892" s="4"/>
      <c r="B6892" s="4"/>
      <c r="C6892" s="4"/>
      <c r="D6892" s="4"/>
      <c r="E6892" s="4"/>
    </row>
    <row r="6893">
      <c r="A6893" s="4"/>
      <c r="B6893" s="4"/>
      <c r="C6893" s="4"/>
      <c r="D6893" s="4"/>
      <c r="E6893" s="4"/>
    </row>
    <row r="6894">
      <c r="A6894" s="4"/>
      <c r="B6894" s="4"/>
      <c r="C6894" s="4"/>
      <c r="D6894" s="4"/>
      <c r="E6894" s="4"/>
    </row>
    <row r="6895">
      <c r="A6895" s="4"/>
      <c r="B6895" s="4"/>
      <c r="C6895" s="4"/>
      <c r="D6895" s="4"/>
      <c r="E6895" s="4"/>
    </row>
    <row r="6896">
      <c r="A6896" s="4"/>
      <c r="B6896" s="4"/>
      <c r="C6896" s="4"/>
      <c r="D6896" s="4"/>
      <c r="E6896" s="4"/>
    </row>
    <row r="6897">
      <c r="A6897" s="4"/>
      <c r="B6897" s="4"/>
      <c r="C6897" s="4"/>
      <c r="D6897" s="4"/>
      <c r="E6897" s="4"/>
    </row>
    <row r="6898">
      <c r="A6898" s="4"/>
      <c r="B6898" s="4"/>
      <c r="C6898" s="4"/>
      <c r="D6898" s="4"/>
      <c r="E6898" s="4"/>
    </row>
    <row r="6899">
      <c r="A6899" s="4"/>
      <c r="B6899" s="4"/>
      <c r="C6899" s="4"/>
      <c r="D6899" s="4"/>
      <c r="E6899" s="4"/>
    </row>
    <row r="6900">
      <c r="A6900" s="4"/>
      <c r="B6900" s="4"/>
      <c r="C6900" s="4"/>
      <c r="D6900" s="4"/>
      <c r="E6900" s="4"/>
    </row>
    <row r="6901">
      <c r="A6901" s="4"/>
      <c r="B6901" s="4"/>
      <c r="C6901" s="4"/>
      <c r="D6901" s="4"/>
      <c r="E6901" s="4"/>
    </row>
    <row r="6902">
      <c r="A6902" s="4"/>
      <c r="B6902" s="4"/>
      <c r="C6902" s="4"/>
      <c r="D6902" s="4"/>
      <c r="E6902" s="4"/>
    </row>
    <row r="6903">
      <c r="A6903" s="4"/>
      <c r="B6903" s="4"/>
      <c r="C6903" s="4"/>
      <c r="D6903" s="4"/>
      <c r="E6903" s="4"/>
    </row>
    <row r="6904">
      <c r="A6904" s="4"/>
      <c r="B6904" s="4"/>
      <c r="C6904" s="4"/>
      <c r="D6904" s="4"/>
      <c r="E6904" s="4"/>
    </row>
    <row r="6905">
      <c r="A6905" s="4"/>
      <c r="B6905" s="4"/>
      <c r="C6905" s="4"/>
      <c r="D6905" s="4"/>
      <c r="E6905" s="4"/>
    </row>
    <row r="6906">
      <c r="A6906" s="4"/>
      <c r="B6906" s="4"/>
      <c r="C6906" s="4"/>
      <c r="D6906" s="4"/>
      <c r="E6906" s="4"/>
    </row>
    <row r="6907">
      <c r="A6907" s="4"/>
      <c r="B6907" s="4"/>
      <c r="C6907" s="4"/>
      <c r="D6907" s="4"/>
      <c r="E6907" s="4"/>
    </row>
    <row r="6908">
      <c r="A6908" s="4"/>
      <c r="B6908" s="4"/>
      <c r="C6908" s="4"/>
      <c r="D6908" s="4"/>
      <c r="E6908" s="4"/>
    </row>
    <row r="6909">
      <c r="A6909" s="4"/>
      <c r="B6909" s="4"/>
      <c r="C6909" s="4"/>
      <c r="D6909" s="4"/>
      <c r="E6909" s="4"/>
    </row>
    <row r="6910">
      <c r="A6910" s="4"/>
      <c r="B6910" s="4"/>
      <c r="C6910" s="4"/>
      <c r="D6910" s="4"/>
      <c r="E6910" s="4"/>
    </row>
    <row r="6911">
      <c r="A6911" s="4"/>
      <c r="B6911" s="4"/>
      <c r="C6911" s="4"/>
      <c r="D6911" s="4"/>
      <c r="E6911" s="4"/>
    </row>
    <row r="6912">
      <c r="A6912" s="4"/>
      <c r="B6912" s="4"/>
      <c r="C6912" s="4"/>
      <c r="D6912" s="4"/>
      <c r="E6912" s="4"/>
    </row>
    <row r="6913">
      <c r="A6913" s="4"/>
      <c r="B6913" s="4"/>
      <c r="C6913" s="4"/>
      <c r="D6913" s="4"/>
      <c r="E6913" s="4"/>
    </row>
    <row r="6914">
      <c r="A6914" s="4"/>
      <c r="B6914" s="4"/>
      <c r="C6914" s="4"/>
      <c r="D6914" s="4"/>
      <c r="E6914" s="4"/>
    </row>
    <row r="6915">
      <c r="A6915" s="4"/>
      <c r="B6915" s="4"/>
      <c r="C6915" s="4"/>
      <c r="D6915" s="4"/>
      <c r="E6915" s="4"/>
    </row>
    <row r="6916">
      <c r="A6916" s="4"/>
      <c r="B6916" s="4"/>
      <c r="C6916" s="4"/>
      <c r="D6916" s="4"/>
      <c r="E6916" s="4"/>
    </row>
    <row r="6917">
      <c r="A6917" s="4"/>
      <c r="B6917" s="4"/>
      <c r="C6917" s="4"/>
      <c r="D6917" s="4"/>
      <c r="E6917" s="4"/>
    </row>
    <row r="6918">
      <c r="A6918" s="4"/>
      <c r="B6918" s="4"/>
      <c r="C6918" s="4"/>
      <c r="D6918" s="4"/>
      <c r="E6918" s="4"/>
    </row>
    <row r="6919">
      <c r="A6919" s="4"/>
      <c r="B6919" s="4"/>
      <c r="C6919" s="4"/>
      <c r="D6919" s="4"/>
      <c r="E6919" s="4"/>
    </row>
    <row r="6920">
      <c r="A6920" s="4"/>
      <c r="B6920" s="4"/>
      <c r="C6920" s="4"/>
      <c r="D6920" s="4"/>
      <c r="E6920" s="4"/>
    </row>
    <row r="6921">
      <c r="A6921" s="4"/>
      <c r="B6921" s="4"/>
      <c r="C6921" s="4"/>
      <c r="D6921" s="4"/>
      <c r="E6921" s="4"/>
    </row>
    <row r="6922">
      <c r="A6922" s="4"/>
      <c r="B6922" s="4"/>
      <c r="C6922" s="4"/>
      <c r="D6922" s="4"/>
      <c r="E6922" s="4"/>
    </row>
    <row r="6923">
      <c r="A6923" s="4"/>
      <c r="B6923" s="4"/>
      <c r="C6923" s="4"/>
      <c r="D6923" s="4"/>
      <c r="E6923" s="4"/>
    </row>
    <row r="6924">
      <c r="A6924" s="4"/>
      <c r="B6924" s="4"/>
      <c r="C6924" s="4"/>
      <c r="D6924" s="4"/>
      <c r="E6924" s="4"/>
    </row>
    <row r="6925">
      <c r="A6925" s="4"/>
      <c r="B6925" s="4"/>
      <c r="C6925" s="4"/>
      <c r="D6925" s="4"/>
      <c r="E6925" s="4"/>
    </row>
    <row r="6926">
      <c r="A6926" s="4"/>
      <c r="B6926" s="4"/>
      <c r="C6926" s="4"/>
      <c r="D6926" s="4"/>
      <c r="E6926" s="4"/>
    </row>
    <row r="6927">
      <c r="A6927" s="4"/>
      <c r="B6927" s="4"/>
      <c r="C6927" s="4"/>
      <c r="D6927" s="4"/>
      <c r="E6927" s="4"/>
    </row>
    <row r="6928">
      <c r="A6928" s="4"/>
      <c r="B6928" s="4"/>
      <c r="C6928" s="4"/>
      <c r="D6928" s="4"/>
      <c r="E6928" s="4"/>
    </row>
    <row r="6929">
      <c r="A6929" s="4"/>
      <c r="B6929" s="4"/>
      <c r="C6929" s="4"/>
      <c r="D6929" s="4"/>
      <c r="E6929" s="4"/>
    </row>
    <row r="6930">
      <c r="A6930" s="4"/>
      <c r="B6930" s="4"/>
      <c r="C6930" s="4"/>
      <c r="D6930" s="4"/>
      <c r="E6930" s="4"/>
    </row>
    <row r="6931">
      <c r="A6931" s="4"/>
      <c r="B6931" s="4"/>
      <c r="C6931" s="4"/>
      <c r="D6931" s="4"/>
      <c r="E6931" s="4"/>
    </row>
    <row r="6932">
      <c r="A6932" s="4"/>
      <c r="B6932" s="4"/>
      <c r="C6932" s="4"/>
      <c r="D6932" s="4"/>
      <c r="E6932" s="4"/>
    </row>
    <row r="6933">
      <c r="A6933" s="4"/>
      <c r="B6933" s="4"/>
      <c r="C6933" s="4"/>
      <c r="D6933" s="4"/>
      <c r="E6933" s="4"/>
    </row>
    <row r="6934">
      <c r="A6934" s="4"/>
      <c r="B6934" s="4"/>
      <c r="C6934" s="4"/>
      <c r="D6934" s="4"/>
      <c r="E6934" s="4"/>
    </row>
    <row r="6935">
      <c r="A6935" s="4"/>
      <c r="B6935" s="4"/>
      <c r="C6935" s="4"/>
      <c r="D6935" s="4"/>
      <c r="E6935" s="4"/>
    </row>
    <row r="6936">
      <c r="A6936" s="4"/>
      <c r="B6936" s="4"/>
      <c r="C6936" s="4"/>
      <c r="D6936" s="4"/>
      <c r="E6936" s="4"/>
    </row>
    <row r="6937">
      <c r="A6937" s="4"/>
      <c r="B6937" s="4"/>
      <c r="C6937" s="4"/>
      <c r="D6937" s="4"/>
      <c r="E6937" s="4"/>
    </row>
    <row r="6938">
      <c r="A6938" s="4"/>
      <c r="B6938" s="4"/>
      <c r="C6938" s="4"/>
      <c r="D6938" s="4"/>
      <c r="E6938" s="4"/>
    </row>
    <row r="6939">
      <c r="A6939" s="4"/>
      <c r="B6939" s="4"/>
      <c r="C6939" s="4"/>
      <c r="D6939" s="4"/>
      <c r="E6939" s="4"/>
    </row>
    <row r="6940">
      <c r="A6940" s="4"/>
      <c r="B6940" s="4"/>
      <c r="C6940" s="4"/>
      <c r="D6940" s="4"/>
      <c r="E6940" s="4"/>
    </row>
    <row r="6941">
      <c r="A6941" s="4"/>
      <c r="B6941" s="4"/>
      <c r="C6941" s="4"/>
      <c r="D6941" s="4"/>
      <c r="E6941" s="4"/>
    </row>
    <row r="6942">
      <c r="A6942" s="4"/>
      <c r="B6942" s="4"/>
      <c r="C6942" s="4"/>
      <c r="D6942" s="4"/>
      <c r="E6942" s="4"/>
    </row>
    <row r="6943">
      <c r="A6943" s="4"/>
      <c r="B6943" s="4"/>
      <c r="C6943" s="4"/>
      <c r="D6943" s="4"/>
      <c r="E6943" s="4"/>
    </row>
    <row r="6944">
      <c r="A6944" s="4"/>
      <c r="B6944" s="4"/>
      <c r="C6944" s="4"/>
      <c r="D6944" s="4"/>
      <c r="E6944" s="4"/>
    </row>
    <row r="6945">
      <c r="A6945" s="4"/>
      <c r="B6945" s="4"/>
      <c r="C6945" s="4"/>
      <c r="D6945" s="4"/>
      <c r="E6945" s="4"/>
    </row>
    <row r="6946">
      <c r="A6946" s="4"/>
      <c r="B6946" s="4"/>
      <c r="C6946" s="4"/>
      <c r="D6946" s="4"/>
      <c r="E6946" s="4"/>
    </row>
    <row r="6947">
      <c r="A6947" s="4"/>
      <c r="B6947" s="4"/>
      <c r="C6947" s="4"/>
      <c r="D6947" s="4"/>
      <c r="E6947" s="4"/>
    </row>
    <row r="6948">
      <c r="A6948" s="4"/>
      <c r="B6948" s="4"/>
      <c r="C6948" s="4"/>
      <c r="D6948" s="4"/>
      <c r="E6948" s="4"/>
    </row>
    <row r="6949">
      <c r="A6949" s="4"/>
      <c r="B6949" s="4"/>
      <c r="C6949" s="4"/>
      <c r="D6949" s="4"/>
      <c r="E6949" s="4"/>
    </row>
    <row r="6950">
      <c r="A6950" s="4"/>
      <c r="B6950" s="4"/>
      <c r="C6950" s="4"/>
      <c r="D6950" s="4"/>
      <c r="E6950" s="4"/>
    </row>
    <row r="6951">
      <c r="A6951" s="4"/>
      <c r="B6951" s="4"/>
      <c r="C6951" s="4"/>
      <c r="D6951" s="4"/>
      <c r="E6951" s="4"/>
    </row>
    <row r="6952">
      <c r="A6952" s="4"/>
      <c r="B6952" s="4"/>
      <c r="C6952" s="4"/>
      <c r="D6952" s="4"/>
      <c r="E6952" s="4"/>
    </row>
    <row r="6953">
      <c r="A6953" s="4"/>
      <c r="B6953" s="4"/>
      <c r="C6953" s="4"/>
      <c r="D6953" s="4"/>
      <c r="E6953" s="4"/>
    </row>
    <row r="6954">
      <c r="A6954" s="4"/>
      <c r="B6954" s="4"/>
      <c r="C6954" s="4"/>
      <c r="D6954" s="4"/>
      <c r="E6954" s="4"/>
    </row>
    <row r="6955">
      <c r="A6955" s="4"/>
      <c r="B6955" s="4"/>
      <c r="C6955" s="4"/>
      <c r="D6955" s="4"/>
      <c r="E6955" s="4"/>
    </row>
    <row r="6956">
      <c r="A6956" s="4"/>
      <c r="B6956" s="4"/>
      <c r="C6956" s="4"/>
      <c r="D6956" s="4"/>
      <c r="E6956" s="4"/>
    </row>
    <row r="6957">
      <c r="A6957" s="4"/>
      <c r="B6957" s="4"/>
      <c r="C6957" s="4"/>
      <c r="D6957" s="4"/>
      <c r="E6957" s="4"/>
    </row>
    <row r="6958">
      <c r="A6958" s="4"/>
      <c r="B6958" s="4"/>
      <c r="C6958" s="4"/>
      <c r="D6958" s="4"/>
      <c r="E6958" s="4"/>
    </row>
    <row r="6959">
      <c r="A6959" s="4"/>
      <c r="B6959" s="4"/>
      <c r="C6959" s="4"/>
      <c r="D6959" s="4"/>
      <c r="E6959" s="4"/>
    </row>
    <row r="6960">
      <c r="A6960" s="4"/>
      <c r="B6960" s="4"/>
      <c r="C6960" s="4"/>
      <c r="D6960" s="4"/>
      <c r="E6960" s="4"/>
    </row>
    <row r="6961">
      <c r="A6961" s="4"/>
      <c r="B6961" s="4"/>
      <c r="C6961" s="4"/>
      <c r="D6961" s="4"/>
      <c r="E6961" s="4"/>
    </row>
    <row r="6962">
      <c r="A6962" s="4"/>
      <c r="B6962" s="4"/>
      <c r="C6962" s="4"/>
      <c r="D6962" s="4"/>
      <c r="E6962" s="4"/>
    </row>
    <row r="6963">
      <c r="A6963" s="4"/>
      <c r="B6963" s="4"/>
      <c r="C6963" s="4"/>
      <c r="D6963" s="4"/>
      <c r="E6963" s="4"/>
    </row>
    <row r="6964">
      <c r="A6964" s="4"/>
      <c r="B6964" s="4"/>
      <c r="C6964" s="4"/>
      <c r="D6964" s="4"/>
      <c r="E6964" s="4"/>
    </row>
    <row r="6965">
      <c r="A6965" s="4"/>
      <c r="B6965" s="4"/>
      <c r="C6965" s="4"/>
      <c r="D6965" s="4"/>
      <c r="E6965" s="4"/>
    </row>
    <row r="6966">
      <c r="A6966" s="4"/>
      <c r="B6966" s="4"/>
      <c r="C6966" s="4"/>
      <c r="D6966" s="4"/>
      <c r="E6966" s="4"/>
    </row>
    <row r="6967">
      <c r="A6967" s="4"/>
      <c r="B6967" s="4"/>
      <c r="C6967" s="4"/>
      <c r="D6967" s="4"/>
      <c r="E6967" s="4"/>
    </row>
    <row r="6968">
      <c r="A6968" s="4"/>
      <c r="B6968" s="4"/>
      <c r="C6968" s="4"/>
      <c r="D6968" s="4"/>
      <c r="E6968" s="4"/>
    </row>
    <row r="6969">
      <c r="A6969" s="4"/>
      <c r="B6969" s="4"/>
      <c r="C6969" s="4"/>
      <c r="D6969" s="4"/>
      <c r="E6969" s="4"/>
    </row>
    <row r="6970">
      <c r="A6970" s="4"/>
      <c r="B6970" s="4"/>
      <c r="C6970" s="4"/>
      <c r="D6970" s="4"/>
      <c r="E6970" s="4"/>
    </row>
    <row r="6971">
      <c r="A6971" s="4"/>
      <c r="B6971" s="4"/>
      <c r="C6971" s="4"/>
      <c r="D6971" s="4"/>
      <c r="E6971" s="4"/>
    </row>
    <row r="6972">
      <c r="A6972" s="4"/>
      <c r="B6972" s="4"/>
      <c r="C6972" s="4"/>
      <c r="D6972" s="4"/>
      <c r="E6972" s="4"/>
    </row>
    <row r="6973">
      <c r="A6973" s="4"/>
      <c r="B6973" s="4"/>
      <c r="C6973" s="4"/>
      <c r="D6973" s="4"/>
      <c r="E6973" s="4"/>
    </row>
    <row r="6974">
      <c r="A6974" s="4"/>
      <c r="B6974" s="4"/>
      <c r="C6974" s="4"/>
      <c r="D6974" s="4"/>
      <c r="E6974" s="4"/>
    </row>
    <row r="6975">
      <c r="A6975" s="4"/>
      <c r="B6975" s="4"/>
      <c r="C6975" s="4"/>
      <c r="D6975" s="4"/>
      <c r="E6975" s="4"/>
    </row>
    <row r="6976">
      <c r="A6976" s="4"/>
      <c r="B6976" s="4"/>
      <c r="C6976" s="4"/>
      <c r="D6976" s="4"/>
      <c r="E6976" s="4"/>
    </row>
    <row r="6977">
      <c r="A6977" s="4"/>
      <c r="B6977" s="4"/>
      <c r="C6977" s="4"/>
      <c r="D6977" s="4"/>
      <c r="E6977" s="4"/>
    </row>
    <row r="6978">
      <c r="A6978" s="4"/>
      <c r="B6978" s="4"/>
      <c r="C6978" s="4"/>
      <c r="D6978" s="4"/>
      <c r="E6978" s="4"/>
    </row>
    <row r="6979">
      <c r="A6979" s="4"/>
      <c r="B6979" s="4"/>
      <c r="C6979" s="4"/>
      <c r="D6979" s="4"/>
      <c r="E6979" s="4"/>
    </row>
    <row r="6980">
      <c r="A6980" s="4"/>
      <c r="B6980" s="4"/>
      <c r="C6980" s="4"/>
      <c r="D6980" s="4"/>
      <c r="E6980" s="4"/>
    </row>
    <row r="6981">
      <c r="A6981" s="4"/>
      <c r="B6981" s="4"/>
      <c r="C6981" s="4"/>
      <c r="D6981" s="4"/>
      <c r="E6981" s="4"/>
    </row>
    <row r="6982">
      <c r="A6982" s="4"/>
      <c r="B6982" s="4"/>
      <c r="C6982" s="4"/>
      <c r="D6982" s="4"/>
      <c r="E6982" s="4"/>
    </row>
    <row r="6983">
      <c r="A6983" s="4"/>
      <c r="B6983" s="4"/>
      <c r="C6983" s="4"/>
      <c r="D6983" s="4"/>
      <c r="E6983" s="4"/>
    </row>
    <row r="6984">
      <c r="A6984" s="4"/>
      <c r="B6984" s="4"/>
      <c r="C6984" s="4"/>
      <c r="D6984" s="4"/>
      <c r="E6984" s="4"/>
    </row>
    <row r="6985">
      <c r="A6985" s="4"/>
      <c r="B6985" s="4"/>
      <c r="C6985" s="4"/>
      <c r="D6985" s="4"/>
      <c r="E6985" s="4"/>
    </row>
    <row r="6986">
      <c r="A6986" s="4"/>
      <c r="B6986" s="4"/>
      <c r="C6986" s="4"/>
      <c r="D6986" s="4"/>
      <c r="E6986" s="4"/>
    </row>
    <row r="6987">
      <c r="A6987" s="4"/>
      <c r="B6987" s="4"/>
      <c r="C6987" s="4"/>
      <c r="D6987" s="4"/>
      <c r="E6987" s="4"/>
    </row>
    <row r="6988">
      <c r="A6988" s="4"/>
      <c r="B6988" s="4"/>
      <c r="C6988" s="4"/>
      <c r="D6988" s="4"/>
      <c r="E6988" s="4"/>
    </row>
    <row r="6989">
      <c r="A6989" s="4"/>
      <c r="B6989" s="4"/>
      <c r="C6989" s="4"/>
      <c r="D6989" s="4"/>
      <c r="E6989" s="4"/>
    </row>
    <row r="6990">
      <c r="A6990" s="4"/>
      <c r="B6990" s="4"/>
      <c r="C6990" s="4"/>
      <c r="D6990" s="4"/>
      <c r="E6990" s="4"/>
    </row>
    <row r="6991">
      <c r="A6991" s="4"/>
      <c r="B6991" s="4"/>
      <c r="C6991" s="4"/>
      <c r="D6991" s="4"/>
      <c r="E6991" s="4"/>
    </row>
    <row r="6992">
      <c r="A6992" s="4"/>
      <c r="B6992" s="4"/>
      <c r="C6992" s="4"/>
      <c r="D6992" s="4"/>
      <c r="E6992" s="4"/>
    </row>
    <row r="6993">
      <c r="A6993" s="4"/>
      <c r="B6993" s="4"/>
      <c r="C6993" s="4"/>
      <c r="D6993" s="4"/>
      <c r="E6993" s="4"/>
    </row>
    <row r="6994">
      <c r="A6994" s="4"/>
      <c r="B6994" s="4"/>
      <c r="C6994" s="4"/>
      <c r="D6994" s="4"/>
      <c r="E6994" s="4"/>
    </row>
    <row r="6995">
      <c r="A6995" s="4"/>
      <c r="B6995" s="4"/>
      <c r="C6995" s="4"/>
      <c r="D6995" s="4"/>
      <c r="E6995" s="4"/>
    </row>
    <row r="6996">
      <c r="A6996" s="4"/>
      <c r="B6996" s="4"/>
      <c r="C6996" s="4"/>
      <c r="D6996" s="4"/>
      <c r="E6996" s="4"/>
    </row>
    <row r="6997">
      <c r="A6997" s="4"/>
      <c r="B6997" s="4"/>
      <c r="C6997" s="4"/>
      <c r="D6997" s="4"/>
      <c r="E6997" s="4"/>
    </row>
    <row r="6998">
      <c r="A6998" s="4"/>
      <c r="B6998" s="4"/>
      <c r="C6998" s="4"/>
      <c r="D6998" s="4"/>
      <c r="E6998" s="4"/>
    </row>
    <row r="6999">
      <c r="A6999" s="4"/>
      <c r="B6999" s="4"/>
      <c r="C6999" s="4"/>
      <c r="D6999" s="4"/>
      <c r="E6999" s="4"/>
    </row>
    <row r="7000">
      <c r="A7000" s="4"/>
      <c r="B7000" s="4"/>
      <c r="C7000" s="4"/>
      <c r="D7000" s="4"/>
      <c r="E7000" s="4"/>
    </row>
    <row r="7001">
      <c r="A7001" s="4"/>
      <c r="B7001" s="4"/>
      <c r="C7001" s="4"/>
      <c r="D7001" s="4"/>
      <c r="E7001" s="4"/>
    </row>
    <row r="7002">
      <c r="A7002" s="4"/>
      <c r="B7002" s="4"/>
      <c r="C7002" s="4"/>
      <c r="D7002" s="4"/>
      <c r="E7002" s="4"/>
    </row>
    <row r="7003">
      <c r="A7003" s="4"/>
      <c r="B7003" s="4"/>
      <c r="C7003" s="4"/>
      <c r="D7003" s="4"/>
      <c r="E7003" s="4"/>
    </row>
    <row r="7004">
      <c r="A7004" s="4"/>
      <c r="B7004" s="4"/>
      <c r="C7004" s="4"/>
      <c r="D7004" s="4"/>
      <c r="E7004" s="4"/>
    </row>
    <row r="7005">
      <c r="A7005" s="4"/>
      <c r="B7005" s="4"/>
      <c r="C7005" s="4"/>
      <c r="D7005" s="4"/>
      <c r="E7005" s="4"/>
    </row>
    <row r="7006">
      <c r="A7006" s="4"/>
      <c r="B7006" s="4"/>
      <c r="C7006" s="4"/>
      <c r="D7006" s="4"/>
      <c r="E7006" s="4"/>
    </row>
    <row r="7007">
      <c r="A7007" s="4"/>
      <c r="B7007" s="4"/>
      <c r="C7007" s="4"/>
      <c r="D7007" s="4"/>
      <c r="E7007" s="4"/>
    </row>
    <row r="7008">
      <c r="A7008" s="4"/>
      <c r="B7008" s="4"/>
      <c r="C7008" s="4"/>
      <c r="D7008" s="4"/>
      <c r="E7008" s="4"/>
    </row>
    <row r="7009">
      <c r="A7009" s="4"/>
      <c r="B7009" s="4"/>
      <c r="C7009" s="4"/>
      <c r="D7009" s="4"/>
      <c r="E7009" s="4"/>
    </row>
    <row r="7010">
      <c r="A7010" s="4"/>
      <c r="B7010" s="4"/>
      <c r="C7010" s="4"/>
      <c r="D7010" s="4"/>
      <c r="E7010" s="4"/>
    </row>
    <row r="7011">
      <c r="A7011" s="4"/>
      <c r="B7011" s="4"/>
      <c r="C7011" s="4"/>
      <c r="D7011" s="4"/>
      <c r="E7011" s="4"/>
    </row>
    <row r="7012">
      <c r="A7012" s="4"/>
      <c r="B7012" s="4"/>
      <c r="C7012" s="4"/>
      <c r="D7012" s="4"/>
      <c r="E7012" s="4"/>
    </row>
    <row r="7013">
      <c r="A7013" s="4"/>
      <c r="B7013" s="4"/>
      <c r="C7013" s="4"/>
      <c r="D7013" s="4"/>
      <c r="E7013" s="4"/>
    </row>
    <row r="7014">
      <c r="A7014" s="4"/>
      <c r="B7014" s="4"/>
      <c r="C7014" s="4"/>
      <c r="D7014" s="4"/>
      <c r="E7014" s="4"/>
    </row>
    <row r="7015">
      <c r="A7015" s="4"/>
      <c r="B7015" s="4"/>
      <c r="C7015" s="4"/>
      <c r="D7015" s="4"/>
      <c r="E7015" s="4"/>
    </row>
    <row r="7016">
      <c r="A7016" s="4"/>
      <c r="B7016" s="4"/>
      <c r="C7016" s="4"/>
      <c r="D7016" s="4"/>
      <c r="E7016" s="4"/>
    </row>
    <row r="7017">
      <c r="A7017" s="4"/>
      <c r="B7017" s="4"/>
      <c r="C7017" s="4"/>
      <c r="D7017" s="4"/>
      <c r="E7017" s="4"/>
    </row>
    <row r="7018">
      <c r="A7018" s="4"/>
      <c r="B7018" s="4"/>
      <c r="C7018" s="4"/>
      <c r="D7018" s="4"/>
      <c r="E7018" s="4"/>
    </row>
    <row r="7019">
      <c r="A7019" s="4"/>
      <c r="B7019" s="4"/>
      <c r="C7019" s="4"/>
      <c r="D7019" s="4"/>
      <c r="E7019" s="4"/>
    </row>
    <row r="7020">
      <c r="A7020" s="4"/>
      <c r="B7020" s="4"/>
      <c r="C7020" s="4"/>
      <c r="D7020" s="4"/>
      <c r="E7020" s="4"/>
    </row>
    <row r="7021">
      <c r="A7021" s="4"/>
      <c r="B7021" s="4"/>
      <c r="C7021" s="4"/>
      <c r="D7021" s="4"/>
      <c r="E7021" s="4"/>
    </row>
    <row r="7022">
      <c r="A7022" s="4"/>
      <c r="B7022" s="4"/>
      <c r="C7022" s="4"/>
      <c r="D7022" s="4"/>
      <c r="E7022" s="4"/>
    </row>
    <row r="7023">
      <c r="A7023" s="4"/>
      <c r="B7023" s="4"/>
      <c r="C7023" s="4"/>
      <c r="D7023" s="4"/>
      <c r="E7023" s="4"/>
    </row>
    <row r="7024">
      <c r="A7024" s="4"/>
      <c r="B7024" s="4"/>
      <c r="C7024" s="4"/>
      <c r="D7024" s="4"/>
      <c r="E7024" s="4"/>
    </row>
    <row r="7025">
      <c r="A7025" s="4"/>
      <c r="B7025" s="4"/>
      <c r="C7025" s="4"/>
      <c r="D7025" s="4"/>
      <c r="E7025" s="4"/>
    </row>
    <row r="7026">
      <c r="A7026" s="4"/>
      <c r="B7026" s="4"/>
      <c r="C7026" s="4"/>
      <c r="D7026" s="4"/>
      <c r="E7026" s="4"/>
    </row>
    <row r="7027">
      <c r="A7027" s="4"/>
      <c r="B7027" s="4"/>
      <c r="C7027" s="4"/>
      <c r="D7027" s="4"/>
      <c r="E7027" s="4"/>
    </row>
    <row r="7028">
      <c r="A7028" s="4"/>
      <c r="B7028" s="4"/>
      <c r="C7028" s="4"/>
      <c r="D7028" s="4"/>
      <c r="E7028" s="4"/>
    </row>
    <row r="7029">
      <c r="A7029" s="4"/>
      <c r="B7029" s="4"/>
      <c r="C7029" s="4"/>
      <c r="D7029" s="4"/>
      <c r="E7029" s="4"/>
    </row>
    <row r="7030">
      <c r="A7030" s="4"/>
      <c r="B7030" s="4"/>
      <c r="C7030" s="4"/>
      <c r="D7030" s="4"/>
      <c r="E7030" s="4"/>
    </row>
    <row r="7031">
      <c r="A7031" s="4"/>
      <c r="B7031" s="4"/>
      <c r="C7031" s="4"/>
      <c r="D7031" s="4"/>
      <c r="E7031" s="4"/>
    </row>
    <row r="7032">
      <c r="A7032" s="4"/>
      <c r="B7032" s="4"/>
      <c r="C7032" s="4"/>
      <c r="D7032" s="4"/>
      <c r="E7032" s="4"/>
    </row>
    <row r="7033">
      <c r="A7033" s="4"/>
      <c r="B7033" s="4"/>
      <c r="C7033" s="4"/>
      <c r="D7033" s="4"/>
      <c r="E7033" s="4"/>
    </row>
    <row r="7034">
      <c r="A7034" s="4"/>
      <c r="B7034" s="4"/>
      <c r="C7034" s="4"/>
      <c r="D7034" s="4"/>
      <c r="E7034" s="4"/>
    </row>
    <row r="7035">
      <c r="A7035" s="4"/>
      <c r="B7035" s="4"/>
      <c r="C7035" s="4"/>
      <c r="D7035" s="4"/>
      <c r="E7035" s="4"/>
    </row>
    <row r="7036">
      <c r="A7036" s="4"/>
      <c r="B7036" s="4"/>
      <c r="C7036" s="4"/>
      <c r="D7036" s="4"/>
      <c r="E7036" s="4"/>
    </row>
    <row r="7037">
      <c r="A7037" s="4"/>
      <c r="B7037" s="4"/>
      <c r="C7037" s="4"/>
      <c r="D7037" s="4"/>
      <c r="E7037" s="4"/>
    </row>
    <row r="7038">
      <c r="A7038" s="4"/>
      <c r="B7038" s="4"/>
      <c r="C7038" s="4"/>
      <c r="D7038" s="4"/>
      <c r="E7038" s="4"/>
    </row>
    <row r="7039">
      <c r="A7039" s="4"/>
      <c r="B7039" s="4"/>
      <c r="C7039" s="4"/>
      <c r="D7039" s="4"/>
      <c r="E7039" s="4"/>
    </row>
    <row r="7040">
      <c r="A7040" s="4"/>
      <c r="B7040" s="4"/>
      <c r="C7040" s="4"/>
      <c r="D7040" s="4"/>
      <c r="E7040" s="4"/>
    </row>
    <row r="7041">
      <c r="A7041" s="4"/>
      <c r="B7041" s="4"/>
      <c r="C7041" s="4"/>
      <c r="D7041" s="4"/>
      <c r="E7041" s="4"/>
    </row>
    <row r="7042">
      <c r="A7042" s="4"/>
      <c r="B7042" s="4"/>
      <c r="C7042" s="4"/>
      <c r="D7042" s="4"/>
      <c r="E7042" s="4"/>
    </row>
    <row r="7043">
      <c r="A7043" s="4"/>
      <c r="B7043" s="4"/>
      <c r="C7043" s="4"/>
      <c r="D7043" s="4"/>
      <c r="E7043" s="4"/>
    </row>
    <row r="7044">
      <c r="A7044" s="4"/>
      <c r="B7044" s="4"/>
      <c r="C7044" s="4"/>
      <c r="D7044" s="4"/>
      <c r="E7044" s="4"/>
    </row>
    <row r="7045">
      <c r="A7045" s="4"/>
      <c r="B7045" s="4"/>
      <c r="C7045" s="4"/>
      <c r="D7045" s="4"/>
      <c r="E7045" s="4"/>
    </row>
    <row r="7046">
      <c r="A7046" s="4"/>
      <c r="B7046" s="4"/>
      <c r="C7046" s="4"/>
      <c r="D7046" s="4"/>
      <c r="E7046" s="4"/>
    </row>
    <row r="7047">
      <c r="A7047" s="4"/>
      <c r="B7047" s="4"/>
      <c r="C7047" s="4"/>
      <c r="D7047" s="4"/>
      <c r="E7047" s="4"/>
    </row>
    <row r="7048">
      <c r="A7048" s="4"/>
      <c r="B7048" s="4"/>
      <c r="C7048" s="4"/>
      <c r="D7048" s="4"/>
      <c r="E7048" s="4"/>
    </row>
    <row r="7049">
      <c r="A7049" s="4"/>
      <c r="B7049" s="4"/>
      <c r="C7049" s="4"/>
      <c r="D7049" s="4"/>
      <c r="E7049" s="4"/>
    </row>
    <row r="7050">
      <c r="A7050" s="4"/>
      <c r="B7050" s="4"/>
      <c r="C7050" s="4"/>
      <c r="D7050" s="4"/>
      <c r="E7050" s="4"/>
    </row>
    <row r="7051">
      <c r="A7051" s="4"/>
      <c r="B7051" s="4"/>
      <c r="C7051" s="4"/>
      <c r="D7051" s="4"/>
      <c r="E7051" s="4"/>
    </row>
    <row r="7052">
      <c r="A7052" s="4"/>
      <c r="B7052" s="4"/>
      <c r="C7052" s="4"/>
      <c r="D7052" s="4"/>
      <c r="E7052" s="4"/>
    </row>
    <row r="7053">
      <c r="A7053" s="4"/>
      <c r="B7053" s="4"/>
      <c r="C7053" s="4"/>
      <c r="D7053" s="4"/>
      <c r="E7053" s="4"/>
    </row>
    <row r="7054">
      <c r="A7054" s="4"/>
      <c r="B7054" s="4"/>
      <c r="C7054" s="4"/>
      <c r="D7054" s="4"/>
      <c r="E7054" s="4"/>
    </row>
    <row r="7055">
      <c r="A7055" s="4"/>
      <c r="B7055" s="4"/>
      <c r="C7055" s="4"/>
      <c r="D7055" s="4"/>
      <c r="E7055" s="4"/>
    </row>
    <row r="7056">
      <c r="A7056" s="4"/>
      <c r="B7056" s="4"/>
      <c r="C7056" s="4"/>
      <c r="D7056" s="4"/>
      <c r="E7056" s="4"/>
    </row>
    <row r="7057">
      <c r="A7057" s="4"/>
      <c r="B7057" s="4"/>
      <c r="C7057" s="4"/>
      <c r="D7057" s="4"/>
      <c r="E7057" s="4"/>
    </row>
    <row r="7058">
      <c r="A7058" s="4"/>
      <c r="B7058" s="4"/>
      <c r="C7058" s="4"/>
      <c r="D7058" s="4"/>
      <c r="E7058" s="4"/>
    </row>
    <row r="7059">
      <c r="A7059" s="4"/>
      <c r="B7059" s="4"/>
      <c r="C7059" s="4"/>
      <c r="D7059" s="4"/>
      <c r="E7059" s="4"/>
    </row>
    <row r="7060">
      <c r="A7060" s="4"/>
      <c r="B7060" s="4"/>
      <c r="C7060" s="4"/>
      <c r="D7060" s="4"/>
      <c r="E7060" s="4"/>
    </row>
    <row r="7061">
      <c r="A7061" s="4"/>
      <c r="B7061" s="4"/>
      <c r="C7061" s="4"/>
      <c r="D7061" s="4"/>
      <c r="E7061" s="4"/>
    </row>
    <row r="7062">
      <c r="A7062" s="4"/>
      <c r="B7062" s="4"/>
      <c r="C7062" s="4"/>
      <c r="D7062" s="4"/>
      <c r="E7062" s="4"/>
    </row>
    <row r="7063">
      <c r="A7063" s="4"/>
      <c r="B7063" s="4"/>
      <c r="C7063" s="4"/>
      <c r="D7063" s="4"/>
      <c r="E7063" s="4"/>
    </row>
    <row r="7064">
      <c r="A7064" s="4"/>
      <c r="B7064" s="4"/>
      <c r="C7064" s="4"/>
      <c r="D7064" s="4"/>
      <c r="E7064" s="4"/>
    </row>
    <row r="7065">
      <c r="A7065" s="4"/>
      <c r="B7065" s="4"/>
      <c r="C7065" s="4"/>
      <c r="D7065" s="4"/>
      <c r="E7065" s="4"/>
    </row>
    <row r="7066">
      <c r="A7066" s="4"/>
      <c r="B7066" s="4"/>
      <c r="C7066" s="4"/>
      <c r="D7066" s="4"/>
      <c r="E7066" s="4"/>
    </row>
    <row r="7067">
      <c r="A7067" s="4"/>
      <c r="B7067" s="4"/>
      <c r="C7067" s="4"/>
      <c r="D7067" s="4"/>
      <c r="E7067" s="4"/>
    </row>
    <row r="7068">
      <c r="A7068" s="4"/>
      <c r="B7068" s="4"/>
      <c r="C7068" s="4"/>
      <c r="D7068" s="4"/>
      <c r="E7068" s="4"/>
    </row>
    <row r="7069">
      <c r="A7069" s="4"/>
      <c r="B7069" s="4"/>
      <c r="C7069" s="4"/>
      <c r="D7069" s="4"/>
      <c r="E7069" s="4"/>
    </row>
    <row r="7070">
      <c r="A7070" s="4"/>
      <c r="B7070" s="4"/>
      <c r="C7070" s="4"/>
      <c r="D7070" s="4"/>
      <c r="E7070" s="4"/>
    </row>
    <row r="7071">
      <c r="A7071" s="4"/>
      <c r="B7071" s="4"/>
      <c r="C7071" s="4"/>
      <c r="D7071" s="4"/>
      <c r="E7071" s="4"/>
    </row>
    <row r="7072">
      <c r="A7072" s="4"/>
      <c r="B7072" s="4"/>
      <c r="C7072" s="4"/>
      <c r="D7072" s="4"/>
      <c r="E7072" s="4"/>
    </row>
    <row r="7073">
      <c r="A7073" s="4"/>
      <c r="B7073" s="4"/>
      <c r="C7073" s="4"/>
      <c r="D7073" s="4"/>
      <c r="E7073" s="4"/>
    </row>
    <row r="7074">
      <c r="A7074" s="4"/>
      <c r="B7074" s="4"/>
      <c r="C7074" s="4"/>
      <c r="D7074" s="4"/>
      <c r="E7074" s="4"/>
    </row>
    <row r="7075">
      <c r="A7075" s="4"/>
      <c r="B7075" s="4"/>
      <c r="C7075" s="4"/>
      <c r="D7075" s="4"/>
      <c r="E7075" s="4"/>
    </row>
    <row r="7076">
      <c r="A7076" s="4"/>
      <c r="B7076" s="4"/>
      <c r="C7076" s="4"/>
      <c r="D7076" s="4"/>
      <c r="E7076" s="4"/>
    </row>
    <row r="7077">
      <c r="A7077" s="4"/>
      <c r="B7077" s="4"/>
      <c r="C7077" s="4"/>
      <c r="D7077" s="4"/>
      <c r="E7077" s="4"/>
    </row>
    <row r="7078">
      <c r="A7078" s="4"/>
      <c r="B7078" s="4"/>
      <c r="C7078" s="4"/>
      <c r="D7078" s="4"/>
      <c r="E7078" s="4"/>
    </row>
    <row r="7079">
      <c r="A7079" s="4"/>
      <c r="B7079" s="4"/>
      <c r="C7079" s="4"/>
      <c r="D7079" s="4"/>
      <c r="E7079" s="4"/>
    </row>
    <row r="7080">
      <c r="A7080" s="4"/>
      <c r="B7080" s="4"/>
      <c r="C7080" s="4"/>
      <c r="D7080" s="4"/>
      <c r="E7080" s="4"/>
    </row>
    <row r="7081">
      <c r="A7081" s="4"/>
      <c r="B7081" s="4"/>
      <c r="C7081" s="4"/>
      <c r="D7081" s="4"/>
      <c r="E7081" s="4"/>
    </row>
    <row r="7082">
      <c r="A7082" s="4"/>
      <c r="B7082" s="4"/>
      <c r="C7082" s="4"/>
      <c r="D7082" s="4"/>
      <c r="E7082" s="4"/>
    </row>
    <row r="7083">
      <c r="A7083" s="4"/>
      <c r="B7083" s="4"/>
      <c r="C7083" s="4"/>
      <c r="D7083" s="4"/>
      <c r="E7083" s="4"/>
    </row>
    <row r="7084">
      <c r="A7084" s="4"/>
      <c r="B7084" s="4"/>
      <c r="C7084" s="4"/>
      <c r="D7084" s="4"/>
      <c r="E7084" s="4"/>
    </row>
    <row r="7085">
      <c r="A7085" s="4"/>
      <c r="B7085" s="4"/>
      <c r="C7085" s="4"/>
      <c r="D7085" s="4"/>
      <c r="E7085" s="4"/>
    </row>
    <row r="7086">
      <c r="A7086" s="4"/>
      <c r="B7086" s="4"/>
      <c r="C7086" s="4"/>
      <c r="D7086" s="4"/>
      <c r="E7086" s="4"/>
    </row>
    <row r="7087">
      <c r="A7087" s="4"/>
      <c r="B7087" s="4"/>
      <c r="C7087" s="4"/>
      <c r="D7087" s="4"/>
      <c r="E7087" s="4"/>
    </row>
    <row r="7088">
      <c r="A7088" s="4"/>
      <c r="B7088" s="4"/>
      <c r="C7088" s="4"/>
      <c r="D7088" s="4"/>
      <c r="E7088" s="4"/>
    </row>
    <row r="7089">
      <c r="A7089" s="4"/>
      <c r="B7089" s="4"/>
      <c r="C7089" s="4"/>
      <c r="D7089" s="4"/>
      <c r="E7089" s="4"/>
    </row>
    <row r="7090">
      <c r="A7090" s="4"/>
      <c r="B7090" s="4"/>
      <c r="C7090" s="4"/>
      <c r="D7090" s="4"/>
      <c r="E7090" s="4"/>
    </row>
    <row r="7091">
      <c r="A7091" s="4"/>
      <c r="B7091" s="4"/>
      <c r="C7091" s="4"/>
      <c r="D7091" s="4"/>
      <c r="E7091" s="4"/>
    </row>
    <row r="7092">
      <c r="A7092" s="4"/>
      <c r="B7092" s="4"/>
      <c r="C7092" s="4"/>
      <c r="D7092" s="4"/>
      <c r="E7092" s="4"/>
    </row>
    <row r="7093">
      <c r="A7093" s="4"/>
      <c r="B7093" s="4"/>
      <c r="C7093" s="4"/>
      <c r="D7093" s="4"/>
      <c r="E7093" s="4"/>
    </row>
    <row r="7094">
      <c r="A7094" s="4"/>
      <c r="B7094" s="4"/>
      <c r="C7094" s="4"/>
      <c r="D7094" s="4"/>
      <c r="E7094" s="4"/>
    </row>
    <row r="7095">
      <c r="A7095" s="4"/>
      <c r="B7095" s="4"/>
      <c r="C7095" s="4"/>
      <c r="D7095" s="4"/>
      <c r="E7095" s="4"/>
    </row>
    <row r="7096">
      <c r="A7096" s="4"/>
      <c r="B7096" s="4"/>
      <c r="C7096" s="4"/>
      <c r="D7096" s="4"/>
      <c r="E7096" s="4"/>
    </row>
    <row r="7097">
      <c r="A7097" s="4"/>
      <c r="B7097" s="4"/>
      <c r="C7097" s="4"/>
      <c r="D7097" s="4"/>
      <c r="E7097" s="4"/>
    </row>
    <row r="7098">
      <c r="A7098" s="4"/>
      <c r="B7098" s="4"/>
      <c r="C7098" s="4"/>
      <c r="D7098" s="4"/>
      <c r="E7098" s="4"/>
    </row>
    <row r="7099">
      <c r="A7099" s="4"/>
      <c r="B7099" s="4"/>
      <c r="C7099" s="4"/>
      <c r="D7099" s="4"/>
      <c r="E7099" s="4"/>
    </row>
    <row r="7100">
      <c r="A7100" s="4"/>
      <c r="B7100" s="4"/>
      <c r="C7100" s="4"/>
      <c r="D7100" s="4"/>
      <c r="E7100" s="4"/>
    </row>
    <row r="7101">
      <c r="A7101" s="4"/>
      <c r="B7101" s="4"/>
      <c r="C7101" s="4"/>
      <c r="D7101" s="4"/>
      <c r="E7101" s="4"/>
    </row>
    <row r="7102">
      <c r="A7102" s="4"/>
      <c r="B7102" s="4"/>
      <c r="C7102" s="4"/>
      <c r="D7102" s="4"/>
      <c r="E7102" s="4"/>
    </row>
    <row r="7103">
      <c r="A7103" s="4"/>
      <c r="B7103" s="4"/>
      <c r="C7103" s="4"/>
      <c r="D7103" s="4"/>
      <c r="E7103" s="4"/>
    </row>
    <row r="7104">
      <c r="A7104" s="4"/>
      <c r="B7104" s="4"/>
      <c r="C7104" s="4"/>
      <c r="D7104" s="4"/>
      <c r="E7104" s="4"/>
    </row>
    <row r="7105">
      <c r="A7105" s="4"/>
      <c r="B7105" s="4"/>
      <c r="C7105" s="4"/>
      <c r="D7105" s="4"/>
      <c r="E7105" s="4"/>
    </row>
    <row r="7106">
      <c r="A7106" s="4"/>
      <c r="B7106" s="4"/>
      <c r="C7106" s="4"/>
      <c r="D7106" s="4"/>
      <c r="E7106" s="4"/>
    </row>
    <row r="7107">
      <c r="A7107" s="4"/>
      <c r="B7107" s="4"/>
      <c r="C7107" s="4"/>
      <c r="D7107" s="4"/>
      <c r="E7107" s="4"/>
    </row>
    <row r="7108">
      <c r="A7108" s="4"/>
      <c r="B7108" s="4"/>
      <c r="C7108" s="4"/>
      <c r="D7108" s="4"/>
      <c r="E7108" s="4"/>
    </row>
    <row r="7109">
      <c r="A7109" s="4"/>
      <c r="B7109" s="4"/>
      <c r="C7109" s="4"/>
      <c r="D7109" s="4"/>
      <c r="E7109" s="4"/>
    </row>
    <row r="7110">
      <c r="A7110" s="4"/>
      <c r="B7110" s="4"/>
      <c r="C7110" s="4"/>
      <c r="D7110" s="4"/>
      <c r="E7110" s="4"/>
    </row>
    <row r="7111">
      <c r="A7111" s="4"/>
      <c r="B7111" s="4"/>
      <c r="C7111" s="4"/>
      <c r="D7111" s="4"/>
      <c r="E7111" s="4"/>
    </row>
    <row r="7112">
      <c r="A7112" s="4"/>
      <c r="B7112" s="4"/>
      <c r="C7112" s="4"/>
      <c r="D7112" s="4"/>
      <c r="E7112" s="4"/>
    </row>
    <row r="7113">
      <c r="A7113" s="4"/>
      <c r="B7113" s="4"/>
      <c r="C7113" s="4"/>
      <c r="D7113" s="4"/>
      <c r="E7113" s="4"/>
    </row>
    <row r="7114">
      <c r="A7114" s="4"/>
      <c r="B7114" s="4"/>
      <c r="C7114" s="4"/>
      <c r="D7114" s="4"/>
      <c r="E7114" s="4"/>
    </row>
    <row r="7115">
      <c r="A7115" s="4"/>
      <c r="B7115" s="4"/>
      <c r="C7115" s="4"/>
      <c r="D7115" s="4"/>
      <c r="E7115" s="4"/>
    </row>
    <row r="7116">
      <c r="A7116" s="4"/>
      <c r="B7116" s="4"/>
      <c r="C7116" s="4"/>
      <c r="D7116" s="4"/>
      <c r="E7116" s="4"/>
    </row>
    <row r="7117">
      <c r="A7117" s="4"/>
      <c r="B7117" s="4"/>
      <c r="C7117" s="4"/>
      <c r="D7117" s="4"/>
      <c r="E7117" s="4"/>
    </row>
    <row r="7118">
      <c r="A7118" s="4"/>
      <c r="B7118" s="4"/>
      <c r="C7118" s="4"/>
      <c r="D7118" s="4"/>
      <c r="E7118" s="4"/>
    </row>
    <row r="7119">
      <c r="A7119" s="4"/>
      <c r="B7119" s="4"/>
      <c r="C7119" s="4"/>
      <c r="D7119" s="4"/>
      <c r="E7119" s="4"/>
    </row>
    <row r="7120">
      <c r="A7120" s="4"/>
      <c r="B7120" s="4"/>
      <c r="C7120" s="4"/>
      <c r="D7120" s="4"/>
      <c r="E7120" s="4"/>
    </row>
    <row r="7121">
      <c r="A7121" s="4"/>
      <c r="B7121" s="4"/>
      <c r="C7121" s="4"/>
      <c r="D7121" s="4"/>
      <c r="E7121" s="4"/>
    </row>
    <row r="7122">
      <c r="A7122" s="4"/>
      <c r="B7122" s="4"/>
      <c r="C7122" s="4"/>
      <c r="D7122" s="4"/>
      <c r="E7122" s="4"/>
    </row>
    <row r="7123">
      <c r="A7123" s="4"/>
      <c r="B7123" s="4"/>
      <c r="C7123" s="4"/>
      <c r="D7123" s="4"/>
      <c r="E7123" s="4"/>
    </row>
    <row r="7124">
      <c r="A7124" s="4"/>
      <c r="B7124" s="4"/>
      <c r="C7124" s="4"/>
      <c r="D7124" s="4"/>
      <c r="E7124" s="4"/>
    </row>
    <row r="7125">
      <c r="A7125" s="4"/>
      <c r="B7125" s="4"/>
      <c r="C7125" s="4"/>
      <c r="D7125" s="4"/>
      <c r="E7125" s="4"/>
    </row>
    <row r="7126">
      <c r="A7126" s="4"/>
      <c r="B7126" s="4"/>
      <c r="C7126" s="4"/>
      <c r="D7126" s="4"/>
      <c r="E7126" s="4"/>
    </row>
    <row r="7127">
      <c r="A7127" s="4"/>
      <c r="B7127" s="4"/>
      <c r="C7127" s="4"/>
      <c r="D7127" s="4"/>
      <c r="E7127" s="4"/>
    </row>
    <row r="7128">
      <c r="A7128" s="4"/>
      <c r="B7128" s="4"/>
      <c r="C7128" s="4"/>
      <c r="D7128" s="4"/>
      <c r="E7128" s="4"/>
    </row>
    <row r="7129">
      <c r="A7129" s="4"/>
      <c r="B7129" s="4"/>
      <c r="C7129" s="4"/>
      <c r="D7129" s="4"/>
      <c r="E7129" s="4"/>
    </row>
    <row r="7130">
      <c r="A7130" s="4"/>
      <c r="B7130" s="4"/>
      <c r="C7130" s="4"/>
      <c r="D7130" s="4"/>
      <c r="E7130" s="4"/>
    </row>
    <row r="7131">
      <c r="A7131" s="4"/>
      <c r="B7131" s="4"/>
      <c r="C7131" s="4"/>
      <c r="D7131" s="4"/>
      <c r="E7131" s="4"/>
    </row>
    <row r="7132">
      <c r="A7132" s="4"/>
      <c r="B7132" s="4"/>
      <c r="C7132" s="4"/>
      <c r="D7132" s="4"/>
      <c r="E7132" s="4"/>
    </row>
    <row r="7133">
      <c r="A7133" s="4"/>
      <c r="B7133" s="4"/>
      <c r="C7133" s="4"/>
      <c r="D7133" s="4"/>
      <c r="E7133" s="4"/>
    </row>
    <row r="7134">
      <c r="A7134" s="4"/>
      <c r="B7134" s="4"/>
      <c r="C7134" s="4"/>
      <c r="D7134" s="4"/>
      <c r="E7134" s="4"/>
    </row>
    <row r="7135">
      <c r="A7135" s="4"/>
      <c r="B7135" s="4"/>
      <c r="C7135" s="4"/>
      <c r="D7135" s="4"/>
      <c r="E7135" s="4"/>
    </row>
    <row r="7136">
      <c r="A7136" s="4"/>
      <c r="B7136" s="4"/>
      <c r="C7136" s="4"/>
      <c r="D7136" s="4"/>
      <c r="E7136" s="4"/>
    </row>
    <row r="7137">
      <c r="A7137" s="4"/>
      <c r="B7137" s="4"/>
      <c r="C7137" s="4"/>
      <c r="D7137" s="4"/>
      <c r="E7137" s="4"/>
    </row>
    <row r="7138">
      <c r="A7138" s="4"/>
      <c r="B7138" s="4"/>
      <c r="C7138" s="4"/>
      <c r="D7138" s="4"/>
      <c r="E7138" s="4"/>
    </row>
    <row r="7139">
      <c r="A7139" s="4"/>
      <c r="B7139" s="4"/>
      <c r="C7139" s="4"/>
      <c r="D7139" s="4"/>
      <c r="E7139" s="4"/>
    </row>
    <row r="7140">
      <c r="A7140" s="4"/>
      <c r="B7140" s="4"/>
      <c r="C7140" s="4"/>
      <c r="D7140" s="4"/>
      <c r="E7140" s="4"/>
    </row>
    <row r="7141">
      <c r="A7141" s="4"/>
      <c r="B7141" s="4"/>
      <c r="C7141" s="4"/>
      <c r="D7141" s="4"/>
      <c r="E7141" s="4"/>
    </row>
    <row r="7142">
      <c r="A7142" s="4"/>
      <c r="B7142" s="4"/>
      <c r="C7142" s="4"/>
      <c r="D7142" s="4"/>
      <c r="E7142" s="4"/>
    </row>
    <row r="7143">
      <c r="A7143" s="4"/>
      <c r="B7143" s="4"/>
      <c r="C7143" s="4"/>
      <c r="D7143" s="4"/>
      <c r="E7143" s="4"/>
    </row>
    <row r="7144">
      <c r="A7144" s="4"/>
      <c r="B7144" s="4"/>
      <c r="C7144" s="4"/>
      <c r="D7144" s="4"/>
      <c r="E7144" s="4"/>
    </row>
    <row r="7145">
      <c r="A7145" s="4"/>
      <c r="B7145" s="4"/>
      <c r="C7145" s="4"/>
      <c r="D7145" s="4"/>
      <c r="E7145" s="4"/>
    </row>
    <row r="7146">
      <c r="A7146" s="4"/>
      <c r="B7146" s="4"/>
      <c r="C7146" s="4"/>
      <c r="D7146" s="4"/>
      <c r="E7146" s="4"/>
    </row>
    <row r="7147">
      <c r="A7147" s="4"/>
      <c r="B7147" s="4"/>
      <c r="C7147" s="4"/>
      <c r="D7147" s="4"/>
      <c r="E7147" s="4"/>
    </row>
    <row r="7148">
      <c r="A7148" s="4"/>
      <c r="B7148" s="4"/>
      <c r="C7148" s="4"/>
      <c r="D7148" s="4"/>
      <c r="E7148" s="4"/>
    </row>
    <row r="7149">
      <c r="A7149" s="4"/>
      <c r="B7149" s="4"/>
      <c r="C7149" s="4"/>
      <c r="D7149" s="4"/>
      <c r="E7149" s="4"/>
    </row>
    <row r="7150">
      <c r="A7150" s="4"/>
      <c r="B7150" s="4"/>
      <c r="C7150" s="4"/>
      <c r="D7150" s="4"/>
      <c r="E7150" s="4"/>
    </row>
    <row r="7151">
      <c r="A7151" s="4"/>
      <c r="B7151" s="4"/>
      <c r="C7151" s="4"/>
      <c r="D7151" s="4"/>
      <c r="E7151" s="4"/>
    </row>
    <row r="7152">
      <c r="A7152" s="4"/>
      <c r="B7152" s="4"/>
      <c r="C7152" s="4"/>
      <c r="D7152" s="4"/>
      <c r="E7152" s="4"/>
    </row>
    <row r="7153">
      <c r="A7153" s="4"/>
      <c r="B7153" s="4"/>
      <c r="C7153" s="4"/>
      <c r="D7153" s="4"/>
      <c r="E7153" s="4"/>
    </row>
    <row r="7154">
      <c r="A7154" s="4"/>
      <c r="B7154" s="4"/>
      <c r="C7154" s="4"/>
      <c r="D7154" s="4"/>
      <c r="E7154" s="4"/>
    </row>
    <row r="7155">
      <c r="A7155" s="4"/>
      <c r="B7155" s="4"/>
      <c r="C7155" s="4"/>
      <c r="D7155" s="4"/>
      <c r="E7155" s="4"/>
    </row>
    <row r="7156">
      <c r="A7156" s="4"/>
      <c r="B7156" s="4"/>
      <c r="C7156" s="4"/>
      <c r="D7156" s="4"/>
      <c r="E7156" s="4"/>
    </row>
    <row r="7157">
      <c r="A7157" s="4"/>
      <c r="B7157" s="4"/>
      <c r="C7157" s="4"/>
      <c r="D7157" s="4"/>
      <c r="E7157" s="4"/>
    </row>
    <row r="7158">
      <c r="A7158" s="4"/>
      <c r="B7158" s="4"/>
      <c r="C7158" s="4"/>
      <c r="D7158" s="4"/>
      <c r="E7158" s="4"/>
    </row>
    <row r="7159">
      <c r="A7159" s="4"/>
      <c r="B7159" s="4"/>
      <c r="C7159" s="4"/>
      <c r="D7159" s="4"/>
      <c r="E7159" s="4"/>
    </row>
    <row r="7160">
      <c r="A7160" s="4"/>
      <c r="B7160" s="4"/>
      <c r="C7160" s="4"/>
      <c r="D7160" s="4"/>
      <c r="E7160" s="4"/>
    </row>
    <row r="7161">
      <c r="A7161" s="4"/>
      <c r="B7161" s="4"/>
      <c r="C7161" s="4"/>
      <c r="D7161" s="4"/>
      <c r="E7161" s="4"/>
    </row>
    <row r="7162">
      <c r="A7162" s="4"/>
      <c r="B7162" s="4"/>
      <c r="C7162" s="4"/>
      <c r="D7162" s="4"/>
      <c r="E7162" s="4"/>
    </row>
    <row r="7163">
      <c r="A7163" s="4"/>
      <c r="B7163" s="4"/>
      <c r="C7163" s="4"/>
      <c r="D7163" s="4"/>
      <c r="E7163" s="4"/>
    </row>
    <row r="7164">
      <c r="A7164" s="4"/>
      <c r="B7164" s="4"/>
      <c r="C7164" s="4"/>
      <c r="D7164" s="4"/>
      <c r="E7164" s="4"/>
    </row>
    <row r="7165">
      <c r="A7165" s="4"/>
      <c r="B7165" s="4"/>
      <c r="C7165" s="4"/>
      <c r="D7165" s="4"/>
      <c r="E7165" s="4"/>
    </row>
    <row r="7166">
      <c r="A7166" s="4"/>
      <c r="B7166" s="4"/>
      <c r="C7166" s="4"/>
      <c r="D7166" s="4"/>
      <c r="E7166" s="4"/>
    </row>
    <row r="7167">
      <c r="A7167" s="4"/>
      <c r="B7167" s="4"/>
      <c r="C7167" s="4"/>
      <c r="D7167" s="4"/>
      <c r="E7167" s="4"/>
    </row>
    <row r="7168">
      <c r="A7168" s="4"/>
      <c r="B7168" s="4"/>
      <c r="C7168" s="4"/>
      <c r="D7168" s="4"/>
      <c r="E7168" s="4"/>
    </row>
    <row r="7169">
      <c r="A7169" s="4"/>
      <c r="B7169" s="4"/>
      <c r="C7169" s="4"/>
      <c r="D7169" s="4"/>
      <c r="E7169" s="4"/>
    </row>
    <row r="7170">
      <c r="A7170" s="4"/>
      <c r="B7170" s="4"/>
      <c r="C7170" s="4"/>
      <c r="D7170" s="4"/>
      <c r="E7170" s="4"/>
    </row>
    <row r="7171">
      <c r="A7171" s="4"/>
      <c r="B7171" s="4"/>
      <c r="C7171" s="4"/>
      <c r="D7171" s="4"/>
      <c r="E7171" s="4"/>
    </row>
    <row r="7172">
      <c r="A7172" s="4"/>
      <c r="B7172" s="4"/>
      <c r="C7172" s="4"/>
      <c r="D7172" s="4"/>
      <c r="E7172" s="4"/>
    </row>
    <row r="7173">
      <c r="A7173" s="4"/>
      <c r="B7173" s="4"/>
      <c r="C7173" s="4"/>
      <c r="D7173" s="4"/>
      <c r="E7173" s="4"/>
    </row>
    <row r="7174">
      <c r="A7174" s="4"/>
      <c r="B7174" s="4"/>
      <c r="C7174" s="4"/>
      <c r="D7174" s="4"/>
      <c r="E7174" s="4"/>
    </row>
    <row r="7175">
      <c r="A7175" s="4"/>
      <c r="B7175" s="4"/>
      <c r="C7175" s="4"/>
      <c r="D7175" s="4"/>
      <c r="E7175" s="4"/>
    </row>
    <row r="7176">
      <c r="A7176" s="4"/>
      <c r="B7176" s="4"/>
      <c r="C7176" s="4"/>
      <c r="D7176" s="4"/>
      <c r="E7176" s="4"/>
    </row>
    <row r="7177">
      <c r="A7177" s="4"/>
      <c r="B7177" s="4"/>
      <c r="C7177" s="4"/>
      <c r="D7177" s="4"/>
      <c r="E7177" s="4"/>
    </row>
    <row r="7178">
      <c r="A7178" s="4"/>
      <c r="B7178" s="4"/>
      <c r="C7178" s="4"/>
      <c r="D7178" s="4"/>
      <c r="E7178" s="4"/>
    </row>
    <row r="7179">
      <c r="A7179" s="4"/>
      <c r="B7179" s="4"/>
      <c r="C7179" s="4"/>
      <c r="D7179" s="4"/>
      <c r="E7179" s="4"/>
    </row>
    <row r="7180">
      <c r="A7180" s="4"/>
      <c r="B7180" s="4"/>
      <c r="C7180" s="4"/>
      <c r="D7180" s="4"/>
      <c r="E7180" s="4"/>
    </row>
    <row r="7181">
      <c r="A7181" s="4"/>
      <c r="B7181" s="4"/>
      <c r="C7181" s="4"/>
      <c r="D7181" s="4"/>
      <c r="E7181" s="4"/>
    </row>
    <row r="7182">
      <c r="A7182" s="4"/>
      <c r="B7182" s="4"/>
      <c r="C7182" s="4"/>
      <c r="D7182" s="4"/>
      <c r="E7182" s="4"/>
    </row>
    <row r="7183">
      <c r="A7183" s="4"/>
      <c r="B7183" s="4"/>
      <c r="C7183" s="4"/>
      <c r="D7183" s="4"/>
      <c r="E7183" s="4"/>
    </row>
    <row r="7184">
      <c r="A7184" s="4"/>
      <c r="B7184" s="4"/>
      <c r="C7184" s="4"/>
      <c r="D7184" s="4"/>
      <c r="E7184" s="4"/>
    </row>
    <row r="7185">
      <c r="A7185" s="4"/>
      <c r="B7185" s="4"/>
      <c r="C7185" s="4"/>
      <c r="D7185" s="4"/>
      <c r="E7185" s="4"/>
    </row>
    <row r="7186">
      <c r="A7186" s="4"/>
      <c r="B7186" s="4"/>
      <c r="C7186" s="4"/>
      <c r="D7186" s="4"/>
      <c r="E7186" s="4"/>
    </row>
    <row r="7187">
      <c r="A7187" s="4"/>
      <c r="B7187" s="4"/>
      <c r="C7187" s="4"/>
      <c r="D7187" s="4"/>
      <c r="E7187" s="4"/>
    </row>
    <row r="7188">
      <c r="A7188" s="4"/>
      <c r="B7188" s="4"/>
      <c r="C7188" s="4"/>
      <c r="D7188" s="4"/>
      <c r="E7188" s="4"/>
    </row>
    <row r="7189">
      <c r="A7189" s="4"/>
      <c r="B7189" s="4"/>
      <c r="C7189" s="4"/>
      <c r="D7189" s="4"/>
      <c r="E7189" s="4"/>
    </row>
    <row r="7190">
      <c r="A7190" s="4"/>
      <c r="B7190" s="4"/>
      <c r="C7190" s="4"/>
      <c r="D7190" s="4"/>
      <c r="E7190" s="4"/>
    </row>
    <row r="7191">
      <c r="A7191" s="4"/>
      <c r="B7191" s="4"/>
      <c r="C7191" s="4"/>
      <c r="D7191" s="4"/>
      <c r="E7191" s="4"/>
    </row>
    <row r="7192">
      <c r="A7192" s="4"/>
      <c r="B7192" s="4"/>
      <c r="C7192" s="4"/>
      <c r="D7192" s="4"/>
      <c r="E7192" s="4"/>
    </row>
    <row r="7193">
      <c r="A7193" s="4"/>
      <c r="B7193" s="4"/>
      <c r="C7193" s="4"/>
      <c r="D7193" s="4"/>
      <c r="E7193" s="4"/>
    </row>
    <row r="7194">
      <c r="A7194" s="4"/>
      <c r="B7194" s="4"/>
      <c r="C7194" s="4"/>
      <c r="D7194" s="4"/>
      <c r="E7194" s="4"/>
    </row>
    <row r="7195">
      <c r="A7195" s="4"/>
      <c r="B7195" s="4"/>
      <c r="C7195" s="4"/>
      <c r="D7195" s="4"/>
      <c r="E7195" s="4"/>
    </row>
    <row r="7196">
      <c r="A7196" s="4"/>
      <c r="B7196" s="4"/>
      <c r="C7196" s="4"/>
      <c r="D7196" s="4"/>
      <c r="E7196" s="4"/>
    </row>
    <row r="7197">
      <c r="A7197" s="4"/>
      <c r="B7197" s="4"/>
      <c r="C7197" s="4"/>
      <c r="D7197" s="4"/>
      <c r="E7197" s="4"/>
    </row>
    <row r="7198">
      <c r="A7198" s="4"/>
      <c r="B7198" s="4"/>
      <c r="C7198" s="4"/>
      <c r="D7198" s="4"/>
      <c r="E7198" s="4"/>
    </row>
    <row r="7199">
      <c r="A7199" s="4"/>
      <c r="B7199" s="4"/>
      <c r="C7199" s="4"/>
      <c r="D7199" s="4"/>
      <c r="E7199" s="4"/>
    </row>
    <row r="7200">
      <c r="A7200" s="4"/>
      <c r="B7200" s="4"/>
      <c r="C7200" s="4"/>
      <c r="D7200" s="4"/>
      <c r="E7200" s="4"/>
    </row>
    <row r="7201">
      <c r="A7201" s="4"/>
      <c r="B7201" s="4"/>
      <c r="C7201" s="4"/>
      <c r="D7201" s="4"/>
      <c r="E7201" s="4"/>
    </row>
    <row r="7202">
      <c r="A7202" s="4"/>
      <c r="B7202" s="4"/>
      <c r="C7202" s="4"/>
      <c r="D7202" s="4"/>
      <c r="E7202" s="4"/>
    </row>
    <row r="7203">
      <c r="A7203" s="4"/>
      <c r="B7203" s="4"/>
      <c r="C7203" s="4"/>
      <c r="D7203" s="4"/>
      <c r="E7203" s="4"/>
    </row>
    <row r="7204">
      <c r="A7204" s="4"/>
      <c r="B7204" s="4"/>
      <c r="C7204" s="4"/>
      <c r="D7204" s="4"/>
      <c r="E7204" s="4"/>
    </row>
    <row r="7205">
      <c r="A7205" s="4"/>
      <c r="B7205" s="4"/>
      <c r="C7205" s="4"/>
      <c r="D7205" s="4"/>
      <c r="E7205" s="4"/>
    </row>
    <row r="7206">
      <c r="A7206" s="4"/>
      <c r="B7206" s="4"/>
      <c r="C7206" s="4"/>
      <c r="D7206" s="4"/>
      <c r="E7206" s="4"/>
    </row>
    <row r="7207">
      <c r="A7207" s="4"/>
      <c r="B7207" s="4"/>
      <c r="C7207" s="4"/>
      <c r="D7207" s="4"/>
      <c r="E7207" s="4"/>
    </row>
    <row r="7208">
      <c r="A7208" s="4"/>
      <c r="B7208" s="4"/>
      <c r="C7208" s="4"/>
      <c r="D7208" s="4"/>
      <c r="E7208" s="4"/>
    </row>
    <row r="7209">
      <c r="A7209" s="4"/>
      <c r="B7209" s="4"/>
      <c r="C7209" s="4"/>
      <c r="D7209" s="4"/>
      <c r="E7209" s="4"/>
    </row>
    <row r="7210">
      <c r="A7210" s="4"/>
      <c r="B7210" s="4"/>
      <c r="C7210" s="4"/>
      <c r="D7210" s="4"/>
      <c r="E7210" s="4"/>
    </row>
    <row r="7211">
      <c r="A7211" s="4"/>
      <c r="B7211" s="4"/>
      <c r="C7211" s="4"/>
      <c r="D7211" s="4"/>
      <c r="E7211" s="4"/>
    </row>
    <row r="7212">
      <c r="A7212" s="4"/>
      <c r="B7212" s="4"/>
      <c r="C7212" s="4"/>
      <c r="D7212" s="4"/>
      <c r="E7212" s="4"/>
    </row>
    <row r="7213">
      <c r="A7213" s="4"/>
      <c r="B7213" s="4"/>
      <c r="C7213" s="4"/>
      <c r="D7213" s="4"/>
      <c r="E7213" s="4"/>
    </row>
    <row r="7214">
      <c r="A7214" s="4"/>
      <c r="B7214" s="4"/>
      <c r="C7214" s="4"/>
      <c r="D7214" s="4"/>
      <c r="E7214" s="4"/>
    </row>
    <row r="7215">
      <c r="A7215" s="4"/>
      <c r="B7215" s="4"/>
      <c r="C7215" s="4"/>
      <c r="D7215" s="4"/>
      <c r="E7215" s="4"/>
    </row>
    <row r="7216">
      <c r="A7216" s="4"/>
      <c r="B7216" s="4"/>
      <c r="C7216" s="4"/>
      <c r="D7216" s="4"/>
      <c r="E7216" s="4"/>
    </row>
    <row r="7217">
      <c r="A7217" s="4"/>
      <c r="B7217" s="4"/>
      <c r="C7217" s="4"/>
      <c r="D7217" s="4"/>
      <c r="E7217" s="4"/>
    </row>
    <row r="7218">
      <c r="A7218" s="4"/>
      <c r="B7218" s="4"/>
      <c r="C7218" s="4"/>
      <c r="D7218" s="4"/>
      <c r="E7218" s="4"/>
    </row>
    <row r="7219">
      <c r="A7219" s="4"/>
      <c r="B7219" s="4"/>
      <c r="C7219" s="4"/>
      <c r="D7219" s="4"/>
      <c r="E7219" s="4"/>
    </row>
    <row r="7220">
      <c r="A7220" s="4"/>
      <c r="B7220" s="4"/>
      <c r="C7220" s="4"/>
      <c r="D7220" s="4"/>
      <c r="E7220" s="4"/>
    </row>
    <row r="7221">
      <c r="A7221" s="4"/>
      <c r="B7221" s="4"/>
      <c r="C7221" s="4"/>
      <c r="D7221" s="4"/>
      <c r="E7221" s="4"/>
    </row>
    <row r="7222">
      <c r="A7222" s="4"/>
      <c r="B7222" s="4"/>
      <c r="C7222" s="4"/>
      <c r="D7222" s="4"/>
      <c r="E7222" s="4"/>
    </row>
    <row r="7223">
      <c r="A7223" s="4"/>
      <c r="B7223" s="4"/>
      <c r="C7223" s="4"/>
      <c r="D7223" s="4"/>
      <c r="E7223" s="4"/>
    </row>
    <row r="7224">
      <c r="A7224" s="4"/>
      <c r="B7224" s="4"/>
      <c r="C7224" s="4"/>
      <c r="D7224" s="4"/>
      <c r="E7224" s="4"/>
    </row>
    <row r="7225">
      <c r="A7225" s="4"/>
      <c r="B7225" s="4"/>
      <c r="C7225" s="4"/>
      <c r="D7225" s="4"/>
      <c r="E7225" s="4"/>
    </row>
    <row r="7226">
      <c r="A7226" s="4"/>
      <c r="B7226" s="4"/>
      <c r="C7226" s="4"/>
      <c r="D7226" s="4"/>
      <c r="E7226" s="4"/>
    </row>
    <row r="7227">
      <c r="A7227" s="4"/>
      <c r="B7227" s="4"/>
      <c r="C7227" s="4"/>
      <c r="D7227" s="4"/>
      <c r="E7227" s="4"/>
    </row>
    <row r="7228">
      <c r="A7228" s="4"/>
      <c r="B7228" s="4"/>
      <c r="C7228" s="4"/>
      <c r="D7228" s="4"/>
      <c r="E7228" s="4"/>
    </row>
    <row r="7229">
      <c r="A7229" s="4"/>
      <c r="B7229" s="4"/>
      <c r="C7229" s="4"/>
      <c r="D7229" s="4"/>
      <c r="E7229" s="4"/>
    </row>
    <row r="7230">
      <c r="A7230" s="4"/>
      <c r="B7230" s="4"/>
      <c r="C7230" s="4"/>
      <c r="D7230" s="4"/>
      <c r="E7230" s="4"/>
    </row>
    <row r="7231">
      <c r="A7231" s="4"/>
      <c r="B7231" s="4"/>
      <c r="C7231" s="4"/>
      <c r="D7231" s="4"/>
      <c r="E7231" s="4"/>
    </row>
    <row r="7232">
      <c r="A7232" s="4"/>
      <c r="B7232" s="4"/>
      <c r="C7232" s="4"/>
      <c r="D7232" s="4"/>
      <c r="E7232" s="4"/>
    </row>
    <row r="7233">
      <c r="A7233" s="4"/>
      <c r="B7233" s="4"/>
      <c r="C7233" s="4"/>
      <c r="D7233" s="4"/>
      <c r="E7233" s="4"/>
    </row>
    <row r="7234">
      <c r="A7234" s="4"/>
      <c r="B7234" s="4"/>
      <c r="C7234" s="4"/>
      <c r="D7234" s="4"/>
      <c r="E7234" s="4"/>
    </row>
    <row r="7235">
      <c r="A7235" s="4"/>
      <c r="B7235" s="4"/>
      <c r="C7235" s="4"/>
      <c r="D7235" s="4"/>
      <c r="E7235" s="4"/>
    </row>
    <row r="7236">
      <c r="A7236" s="4"/>
      <c r="B7236" s="4"/>
      <c r="C7236" s="4"/>
      <c r="D7236" s="4"/>
      <c r="E7236" s="4"/>
    </row>
    <row r="7237">
      <c r="A7237" s="4"/>
      <c r="B7237" s="4"/>
      <c r="C7237" s="4"/>
      <c r="D7237" s="4"/>
      <c r="E7237" s="4"/>
    </row>
    <row r="7238">
      <c r="A7238" s="4"/>
      <c r="B7238" s="4"/>
      <c r="C7238" s="4"/>
      <c r="D7238" s="4"/>
      <c r="E7238" s="4"/>
    </row>
    <row r="7239">
      <c r="A7239" s="4"/>
      <c r="B7239" s="4"/>
      <c r="C7239" s="4"/>
      <c r="D7239" s="4"/>
      <c r="E7239" s="4"/>
    </row>
    <row r="7240">
      <c r="A7240" s="4"/>
      <c r="B7240" s="4"/>
      <c r="C7240" s="4"/>
      <c r="D7240" s="4"/>
      <c r="E7240" s="4"/>
    </row>
    <row r="7241">
      <c r="A7241" s="4"/>
      <c r="B7241" s="4"/>
      <c r="C7241" s="4"/>
      <c r="D7241" s="4"/>
      <c r="E7241" s="4"/>
    </row>
    <row r="7242">
      <c r="A7242" s="4"/>
      <c r="B7242" s="4"/>
      <c r="C7242" s="4"/>
      <c r="D7242" s="4"/>
      <c r="E7242" s="4"/>
    </row>
    <row r="7243">
      <c r="A7243" s="4"/>
      <c r="B7243" s="4"/>
      <c r="C7243" s="4"/>
      <c r="D7243" s="4"/>
      <c r="E7243" s="4"/>
    </row>
    <row r="7244">
      <c r="A7244" s="4"/>
      <c r="B7244" s="4"/>
      <c r="C7244" s="4"/>
      <c r="D7244" s="4"/>
      <c r="E7244" s="4"/>
    </row>
    <row r="7245">
      <c r="A7245" s="4"/>
      <c r="B7245" s="4"/>
      <c r="C7245" s="4"/>
      <c r="D7245" s="4"/>
      <c r="E7245" s="4"/>
    </row>
    <row r="7246">
      <c r="A7246" s="4"/>
      <c r="B7246" s="4"/>
      <c r="C7246" s="4"/>
      <c r="D7246" s="4"/>
      <c r="E7246" s="4"/>
    </row>
    <row r="7247">
      <c r="A7247" s="4"/>
      <c r="B7247" s="4"/>
      <c r="C7247" s="4"/>
      <c r="D7247" s="4"/>
      <c r="E7247" s="4"/>
    </row>
    <row r="7248">
      <c r="A7248" s="4"/>
      <c r="B7248" s="4"/>
      <c r="C7248" s="4"/>
      <c r="D7248" s="4"/>
      <c r="E7248" s="4"/>
    </row>
    <row r="7249">
      <c r="A7249" s="4"/>
      <c r="B7249" s="4"/>
      <c r="C7249" s="4"/>
      <c r="D7249" s="4"/>
      <c r="E7249" s="4"/>
    </row>
    <row r="7250">
      <c r="A7250" s="4"/>
      <c r="B7250" s="4"/>
      <c r="C7250" s="4"/>
      <c r="D7250" s="4"/>
      <c r="E7250" s="4"/>
    </row>
    <row r="7251">
      <c r="A7251" s="4"/>
      <c r="B7251" s="4"/>
      <c r="C7251" s="4"/>
      <c r="D7251" s="4"/>
      <c r="E7251" s="4"/>
    </row>
    <row r="7252">
      <c r="A7252" s="4"/>
      <c r="B7252" s="4"/>
      <c r="C7252" s="4"/>
      <c r="D7252" s="4"/>
      <c r="E7252" s="4"/>
    </row>
    <row r="7253">
      <c r="A7253" s="4"/>
      <c r="B7253" s="4"/>
      <c r="C7253" s="4"/>
      <c r="D7253" s="4"/>
      <c r="E7253" s="4"/>
    </row>
    <row r="7254">
      <c r="A7254" s="4"/>
      <c r="B7254" s="4"/>
      <c r="C7254" s="4"/>
      <c r="D7254" s="4"/>
      <c r="E7254" s="4"/>
    </row>
    <row r="7255">
      <c r="A7255" s="4"/>
      <c r="B7255" s="4"/>
      <c r="C7255" s="4"/>
      <c r="D7255" s="4"/>
      <c r="E7255" s="4"/>
    </row>
    <row r="7256">
      <c r="A7256" s="4"/>
      <c r="B7256" s="4"/>
      <c r="C7256" s="4"/>
      <c r="D7256" s="4"/>
      <c r="E7256" s="4"/>
    </row>
    <row r="7257">
      <c r="A7257" s="4"/>
      <c r="B7257" s="4"/>
      <c r="C7257" s="4"/>
      <c r="D7257" s="4"/>
      <c r="E7257" s="4"/>
    </row>
    <row r="7258">
      <c r="A7258" s="4"/>
      <c r="B7258" s="4"/>
      <c r="C7258" s="4"/>
      <c r="D7258" s="4"/>
      <c r="E7258" s="4"/>
    </row>
    <row r="7259">
      <c r="A7259" s="4"/>
      <c r="B7259" s="4"/>
      <c r="C7259" s="4"/>
      <c r="D7259" s="4"/>
      <c r="E7259" s="4"/>
    </row>
    <row r="7260">
      <c r="A7260" s="4"/>
      <c r="B7260" s="4"/>
      <c r="C7260" s="4"/>
      <c r="D7260" s="4"/>
      <c r="E7260" s="4"/>
    </row>
    <row r="7261">
      <c r="A7261" s="4"/>
      <c r="B7261" s="4"/>
      <c r="C7261" s="4"/>
      <c r="D7261" s="4"/>
      <c r="E7261" s="4"/>
    </row>
    <row r="7262">
      <c r="A7262" s="4"/>
      <c r="B7262" s="4"/>
      <c r="C7262" s="4"/>
      <c r="D7262" s="4"/>
      <c r="E7262" s="4"/>
    </row>
    <row r="7263">
      <c r="A7263" s="4"/>
      <c r="B7263" s="4"/>
      <c r="C7263" s="4"/>
      <c r="D7263" s="4"/>
      <c r="E7263" s="4"/>
    </row>
    <row r="7264">
      <c r="A7264" s="4"/>
      <c r="B7264" s="4"/>
      <c r="C7264" s="4"/>
      <c r="D7264" s="4"/>
      <c r="E7264" s="4"/>
    </row>
    <row r="7265">
      <c r="A7265" s="4"/>
      <c r="B7265" s="4"/>
      <c r="C7265" s="4"/>
      <c r="D7265" s="4"/>
      <c r="E7265" s="4"/>
    </row>
    <row r="7266">
      <c r="A7266" s="4"/>
      <c r="B7266" s="4"/>
      <c r="C7266" s="4"/>
      <c r="D7266" s="4"/>
      <c r="E7266" s="4"/>
    </row>
    <row r="7267">
      <c r="A7267" s="4"/>
      <c r="B7267" s="4"/>
      <c r="C7267" s="4"/>
      <c r="D7267" s="4"/>
      <c r="E7267" s="4"/>
    </row>
    <row r="7268">
      <c r="A7268" s="4"/>
      <c r="B7268" s="4"/>
      <c r="C7268" s="4"/>
      <c r="D7268" s="4"/>
      <c r="E7268" s="4"/>
    </row>
    <row r="7269">
      <c r="A7269" s="4"/>
      <c r="B7269" s="4"/>
      <c r="C7269" s="4"/>
      <c r="D7269" s="4"/>
      <c r="E7269" s="4"/>
    </row>
    <row r="7270">
      <c r="A7270" s="4"/>
      <c r="B7270" s="4"/>
      <c r="C7270" s="4"/>
      <c r="D7270" s="4"/>
      <c r="E7270" s="4"/>
    </row>
    <row r="7271">
      <c r="A7271" s="4"/>
      <c r="B7271" s="4"/>
      <c r="C7271" s="4"/>
      <c r="D7271" s="4"/>
      <c r="E7271" s="4"/>
    </row>
    <row r="7272">
      <c r="A7272" s="4"/>
      <c r="B7272" s="4"/>
      <c r="C7272" s="4"/>
      <c r="D7272" s="4"/>
      <c r="E7272" s="4"/>
    </row>
    <row r="7273">
      <c r="A7273" s="4"/>
      <c r="B7273" s="4"/>
      <c r="C7273" s="4"/>
      <c r="D7273" s="4"/>
      <c r="E7273" s="4"/>
    </row>
    <row r="7274">
      <c r="A7274" s="4"/>
      <c r="B7274" s="4"/>
      <c r="C7274" s="4"/>
      <c r="D7274" s="4"/>
      <c r="E7274" s="4"/>
    </row>
    <row r="7275">
      <c r="A7275" s="4"/>
      <c r="B7275" s="4"/>
      <c r="C7275" s="4"/>
      <c r="D7275" s="4"/>
      <c r="E7275" s="4"/>
    </row>
    <row r="7276">
      <c r="A7276" s="4"/>
      <c r="B7276" s="4"/>
      <c r="C7276" s="4"/>
      <c r="D7276" s="4"/>
      <c r="E7276" s="4"/>
    </row>
    <row r="7277">
      <c r="A7277" s="4"/>
      <c r="B7277" s="4"/>
      <c r="C7277" s="4"/>
      <c r="D7277" s="4"/>
      <c r="E7277" s="4"/>
    </row>
    <row r="7278">
      <c r="A7278" s="4"/>
      <c r="B7278" s="4"/>
      <c r="C7278" s="4"/>
      <c r="D7278" s="4"/>
      <c r="E7278" s="4"/>
    </row>
    <row r="7279">
      <c r="A7279" s="4"/>
      <c r="B7279" s="4"/>
      <c r="C7279" s="4"/>
      <c r="D7279" s="4"/>
      <c r="E7279" s="4"/>
    </row>
    <row r="7280">
      <c r="A7280" s="4"/>
      <c r="B7280" s="4"/>
      <c r="C7280" s="4"/>
      <c r="D7280" s="4"/>
      <c r="E7280" s="4"/>
    </row>
    <row r="7281">
      <c r="A7281" s="4"/>
      <c r="B7281" s="4"/>
      <c r="C7281" s="4"/>
      <c r="D7281" s="4"/>
      <c r="E7281" s="4"/>
    </row>
    <row r="7282">
      <c r="A7282" s="4"/>
      <c r="B7282" s="4"/>
      <c r="C7282" s="4"/>
      <c r="D7282" s="4"/>
      <c r="E7282" s="4"/>
    </row>
    <row r="7283">
      <c r="A7283" s="4"/>
      <c r="B7283" s="4"/>
      <c r="C7283" s="4"/>
      <c r="D7283" s="4"/>
      <c r="E7283" s="4"/>
    </row>
    <row r="7284">
      <c r="A7284" s="4"/>
      <c r="B7284" s="4"/>
      <c r="C7284" s="4"/>
      <c r="D7284" s="4"/>
      <c r="E7284" s="4"/>
    </row>
    <row r="7285">
      <c r="A7285" s="4"/>
      <c r="B7285" s="4"/>
      <c r="C7285" s="4"/>
      <c r="D7285" s="4"/>
      <c r="E7285" s="4"/>
    </row>
    <row r="7286">
      <c r="A7286" s="4"/>
      <c r="B7286" s="4"/>
      <c r="C7286" s="4"/>
      <c r="D7286" s="4"/>
      <c r="E7286" s="4"/>
    </row>
    <row r="7287">
      <c r="A7287" s="4"/>
      <c r="B7287" s="4"/>
      <c r="C7287" s="4"/>
      <c r="D7287" s="4"/>
      <c r="E7287" s="4"/>
    </row>
    <row r="7288">
      <c r="A7288" s="4"/>
      <c r="B7288" s="4"/>
      <c r="C7288" s="4"/>
      <c r="D7288" s="4"/>
      <c r="E7288" s="4"/>
    </row>
    <row r="7289">
      <c r="A7289" s="4"/>
      <c r="B7289" s="4"/>
      <c r="C7289" s="4"/>
      <c r="D7289" s="4"/>
      <c r="E7289" s="4"/>
    </row>
    <row r="7290">
      <c r="A7290" s="4"/>
      <c r="B7290" s="4"/>
      <c r="C7290" s="4"/>
      <c r="D7290" s="4"/>
      <c r="E7290" s="4"/>
    </row>
    <row r="7291">
      <c r="A7291" s="4"/>
      <c r="B7291" s="4"/>
      <c r="C7291" s="4"/>
      <c r="D7291" s="4"/>
      <c r="E7291" s="4"/>
    </row>
    <row r="7292">
      <c r="A7292" s="4"/>
      <c r="B7292" s="4"/>
      <c r="C7292" s="4"/>
      <c r="D7292" s="4"/>
      <c r="E7292" s="4"/>
    </row>
    <row r="7293">
      <c r="A7293" s="4"/>
      <c r="B7293" s="4"/>
      <c r="C7293" s="4"/>
      <c r="D7293" s="4"/>
      <c r="E7293" s="4"/>
    </row>
    <row r="7294">
      <c r="A7294" s="4"/>
      <c r="B7294" s="4"/>
      <c r="C7294" s="4"/>
      <c r="D7294" s="4"/>
      <c r="E7294" s="4"/>
    </row>
    <row r="7295">
      <c r="A7295" s="4"/>
      <c r="B7295" s="4"/>
      <c r="C7295" s="4"/>
      <c r="D7295" s="4"/>
      <c r="E7295" s="4"/>
    </row>
    <row r="7296">
      <c r="A7296" s="4"/>
      <c r="B7296" s="4"/>
      <c r="C7296" s="4"/>
      <c r="D7296" s="4"/>
      <c r="E7296" s="4"/>
    </row>
    <row r="7297">
      <c r="A7297" s="4"/>
      <c r="B7297" s="4"/>
      <c r="C7297" s="4"/>
      <c r="D7297" s="4"/>
      <c r="E7297" s="4"/>
    </row>
    <row r="7298">
      <c r="A7298" s="4"/>
      <c r="B7298" s="4"/>
      <c r="C7298" s="4"/>
      <c r="D7298" s="4"/>
      <c r="E7298" s="4"/>
    </row>
    <row r="7299">
      <c r="A7299" s="4"/>
      <c r="B7299" s="4"/>
      <c r="C7299" s="4"/>
      <c r="D7299" s="4"/>
      <c r="E7299" s="4"/>
    </row>
    <row r="7300">
      <c r="A7300" s="4"/>
      <c r="B7300" s="4"/>
      <c r="C7300" s="4"/>
      <c r="D7300" s="4"/>
      <c r="E7300" s="4"/>
    </row>
    <row r="7301">
      <c r="A7301" s="4"/>
      <c r="B7301" s="4"/>
      <c r="C7301" s="4"/>
      <c r="D7301" s="4"/>
      <c r="E7301" s="4"/>
    </row>
    <row r="7302">
      <c r="A7302" s="4"/>
      <c r="B7302" s="4"/>
      <c r="C7302" s="4"/>
      <c r="D7302" s="4"/>
      <c r="E7302" s="4"/>
    </row>
    <row r="7303">
      <c r="A7303" s="4"/>
      <c r="B7303" s="4"/>
      <c r="C7303" s="4"/>
      <c r="D7303" s="4"/>
      <c r="E7303" s="4"/>
    </row>
    <row r="7304">
      <c r="A7304" s="4"/>
      <c r="B7304" s="4"/>
      <c r="C7304" s="4"/>
      <c r="D7304" s="4"/>
      <c r="E7304" s="4"/>
    </row>
    <row r="7305">
      <c r="A7305" s="4"/>
      <c r="B7305" s="4"/>
      <c r="C7305" s="4"/>
      <c r="D7305" s="4"/>
      <c r="E7305" s="4"/>
    </row>
    <row r="7306">
      <c r="A7306" s="4"/>
      <c r="B7306" s="4"/>
      <c r="C7306" s="4"/>
      <c r="D7306" s="4"/>
      <c r="E7306" s="4"/>
    </row>
    <row r="7307">
      <c r="A7307" s="4"/>
      <c r="B7307" s="4"/>
      <c r="C7307" s="4"/>
      <c r="D7307" s="4"/>
      <c r="E7307" s="4"/>
    </row>
    <row r="7308">
      <c r="A7308" s="4"/>
      <c r="B7308" s="4"/>
      <c r="C7308" s="4"/>
      <c r="D7308" s="4"/>
      <c r="E7308" s="4"/>
    </row>
    <row r="7309">
      <c r="A7309" s="4"/>
      <c r="B7309" s="4"/>
      <c r="C7309" s="4"/>
      <c r="D7309" s="4"/>
      <c r="E7309" s="4"/>
    </row>
    <row r="7310">
      <c r="A7310" s="4"/>
      <c r="B7310" s="4"/>
      <c r="C7310" s="4"/>
      <c r="D7310" s="4"/>
      <c r="E7310" s="4"/>
    </row>
    <row r="7311">
      <c r="A7311" s="4"/>
      <c r="B7311" s="4"/>
      <c r="C7311" s="4"/>
      <c r="D7311" s="4"/>
      <c r="E7311" s="4"/>
    </row>
    <row r="7312">
      <c r="A7312" s="4"/>
      <c r="B7312" s="4"/>
      <c r="C7312" s="4"/>
      <c r="D7312" s="4"/>
      <c r="E7312" s="4"/>
    </row>
    <row r="7313">
      <c r="A7313" s="4"/>
      <c r="B7313" s="4"/>
      <c r="C7313" s="4"/>
      <c r="D7313" s="4"/>
      <c r="E7313" s="4"/>
    </row>
    <row r="7314">
      <c r="A7314" s="4"/>
      <c r="B7314" s="4"/>
      <c r="C7314" s="4"/>
      <c r="D7314" s="4"/>
      <c r="E7314" s="4"/>
    </row>
    <row r="7315">
      <c r="A7315" s="4"/>
      <c r="B7315" s="4"/>
      <c r="C7315" s="4"/>
      <c r="D7315" s="4"/>
      <c r="E7315" s="4"/>
    </row>
    <row r="7316">
      <c r="A7316" s="4"/>
      <c r="B7316" s="4"/>
      <c r="C7316" s="4"/>
      <c r="D7316" s="4"/>
      <c r="E7316" s="4"/>
    </row>
    <row r="7317">
      <c r="A7317" s="4"/>
      <c r="B7317" s="4"/>
      <c r="C7317" s="4"/>
      <c r="D7317" s="4"/>
      <c r="E7317" s="4"/>
    </row>
    <row r="7318">
      <c r="A7318" s="4"/>
      <c r="B7318" s="4"/>
      <c r="C7318" s="4"/>
      <c r="D7318" s="4"/>
      <c r="E7318" s="4"/>
    </row>
    <row r="7319">
      <c r="A7319" s="4"/>
      <c r="B7319" s="4"/>
      <c r="C7319" s="4"/>
      <c r="D7319" s="4"/>
      <c r="E7319" s="4"/>
    </row>
    <row r="7320">
      <c r="A7320" s="4"/>
      <c r="B7320" s="4"/>
      <c r="C7320" s="4"/>
      <c r="D7320" s="4"/>
      <c r="E7320" s="4"/>
    </row>
    <row r="7321">
      <c r="A7321" s="4"/>
      <c r="B7321" s="4"/>
      <c r="C7321" s="4"/>
      <c r="D7321" s="4"/>
      <c r="E7321" s="4"/>
    </row>
    <row r="7322">
      <c r="A7322" s="4"/>
      <c r="B7322" s="4"/>
      <c r="C7322" s="4"/>
      <c r="D7322" s="4"/>
      <c r="E7322" s="4"/>
    </row>
    <row r="7323">
      <c r="A7323" s="4"/>
      <c r="B7323" s="4"/>
      <c r="C7323" s="4"/>
      <c r="D7323" s="4"/>
      <c r="E7323" s="4"/>
    </row>
    <row r="7324">
      <c r="A7324" s="4"/>
      <c r="B7324" s="4"/>
      <c r="C7324" s="4"/>
      <c r="D7324" s="4"/>
      <c r="E7324" s="4"/>
    </row>
    <row r="7325">
      <c r="A7325" s="4"/>
      <c r="B7325" s="4"/>
      <c r="C7325" s="4"/>
      <c r="D7325" s="4"/>
      <c r="E7325" s="4"/>
    </row>
    <row r="7326">
      <c r="A7326" s="4"/>
      <c r="B7326" s="4"/>
      <c r="C7326" s="4"/>
      <c r="D7326" s="4"/>
      <c r="E7326" s="4"/>
    </row>
    <row r="7327">
      <c r="A7327" s="4"/>
      <c r="B7327" s="4"/>
      <c r="C7327" s="4"/>
      <c r="D7327" s="4"/>
      <c r="E7327" s="4"/>
    </row>
    <row r="7328">
      <c r="A7328" s="4"/>
      <c r="B7328" s="4"/>
      <c r="C7328" s="4"/>
      <c r="D7328" s="4"/>
      <c r="E7328" s="4"/>
    </row>
    <row r="7329">
      <c r="A7329" s="4"/>
      <c r="B7329" s="4"/>
      <c r="C7329" s="4"/>
      <c r="D7329" s="4"/>
      <c r="E7329" s="4"/>
    </row>
    <row r="7330">
      <c r="A7330" s="4"/>
      <c r="B7330" s="4"/>
      <c r="C7330" s="4"/>
      <c r="D7330" s="4"/>
      <c r="E7330" s="4"/>
    </row>
    <row r="7331">
      <c r="A7331" s="4"/>
      <c r="B7331" s="4"/>
      <c r="C7331" s="4"/>
      <c r="D7331" s="4"/>
      <c r="E7331" s="4"/>
    </row>
    <row r="7332">
      <c r="A7332" s="4"/>
      <c r="B7332" s="4"/>
      <c r="C7332" s="4"/>
      <c r="D7332" s="4"/>
      <c r="E7332" s="4"/>
    </row>
    <row r="7333">
      <c r="A7333" s="4"/>
      <c r="B7333" s="4"/>
      <c r="C7333" s="4"/>
      <c r="D7333" s="4"/>
      <c r="E7333" s="4"/>
    </row>
    <row r="7334">
      <c r="A7334" s="4"/>
      <c r="B7334" s="4"/>
      <c r="C7334" s="4"/>
      <c r="D7334" s="4"/>
      <c r="E7334" s="4"/>
    </row>
    <row r="7335">
      <c r="A7335" s="4"/>
      <c r="B7335" s="4"/>
      <c r="C7335" s="4"/>
      <c r="D7335" s="4"/>
      <c r="E7335" s="4"/>
    </row>
    <row r="7336">
      <c r="A7336" s="4"/>
      <c r="B7336" s="4"/>
      <c r="C7336" s="4"/>
      <c r="D7336" s="4"/>
      <c r="E7336" s="4"/>
    </row>
    <row r="7337">
      <c r="A7337" s="4"/>
      <c r="B7337" s="4"/>
      <c r="C7337" s="4"/>
      <c r="D7337" s="4"/>
      <c r="E7337" s="4"/>
    </row>
    <row r="7338">
      <c r="A7338" s="4"/>
      <c r="B7338" s="4"/>
      <c r="C7338" s="4"/>
      <c r="D7338" s="4"/>
      <c r="E7338" s="4"/>
    </row>
    <row r="7339">
      <c r="A7339" s="4"/>
      <c r="B7339" s="4"/>
      <c r="C7339" s="4"/>
      <c r="D7339" s="4"/>
      <c r="E7339" s="4"/>
    </row>
    <row r="7340">
      <c r="A7340" s="4"/>
      <c r="B7340" s="4"/>
      <c r="C7340" s="4"/>
      <c r="D7340" s="4"/>
      <c r="E7340" s="4"/>
    </row>
    <row r="7341">
      <c r="A7341" s="4"/>
      <c r="B7341" s="4"/>
      <c r="C7341" s="4"/>
      <c r="D7341" s="4"/>
      <c r="E7341" s="4"/>
    </row>
    <row r="7342">
      <c r="A7342" s="4"/>
      <c r="B7342" s="4"/>
      <c r="C7342" s="4"/>
      <c r="D7342" s="4"/>
      <c r="E7342" s="4"/>
    </row>
    <row r="7343">
      <c r="A7343" s="4"/>
      <c r="B7343" s="4"/>
      <c r="C7343" s="4"/>
      <c r="D7343" s="4"/>
      <c r="E7343" s="4"/>
    </row>
    <row r="7344">
      <c r="A7344" s="4"/>
      <c r="B7344" s="4"/>
      <c r="C7344" s="4"/>
      <c r="D7344" s="4"/>
      <c r="E7344" s="4"/>
    </row>
    <row r="7345">
      <c r="A7345" s="4"/>
      <c r="B7345" s="4"/>
      <c r="C7345" s="4"/>
      <c r="D7345" s="4"/>
      <c r="E7345" s="4"/>
    </row>
    <row r="7346">
      <c r="A7346" s="4"/>
      <c r="B7346" s="4"/>
      <c r="C7346" s="4"/>
      <c r="D7346" s="4"/>
      <c r="E7346" s="4"/>
    </row>
    <row r="7347">
      <c r="A7347" s="4"/>
      <c r="B7347" s="4"/>
      <c r="C7347" s="4"/>
      <c r="D7347" s="4"/>
      <c r="E7347" s="4"/>
    </row>
    <row r="7348">
      <c r="A7348" s="4"/>
      <c r="B7348" s="4"/>
      <c r="C7348" s="4"/>
      <c r="D7348" s="4"/>
      <c r="E7348" s="4"/>
    </row>
    <row r="7349">
      <c r="A7349" s="4"/>
      <c r="B7349" s="4"/>
      <c r="C7349" s="4"/>
      <c r="D7349" s="4"/>
      <c r="E7349" s="4"/>
    </row>
    <row r="7350">
      <c r="A7350" s="4"/>
      <c r="B7350" s="4"/>
      <c r="C7350" s="4"/>
      <c r="D7350" s="4"/>
      <c r="E7350" s="4"/>
    </row>
    <row r="7351">
      <c r="A7351" s="4"/>
      <c r="B7351" s="4"/>
      <c r="C7351" s="4"/>
      <c r="D7351" s="4"/>
      <c r="E7351" s="4"/>
    </row>
    <row r="7352">
      <c r="A7352" s="4"/>
      <c r="B7352" s="4"/>
      <c r="C7352" s="4"/>
      <c r="D7352" s="4"/>
      <c r="E7352" s="4"/>
    </row>
    <row r="7353">
      <c r="A7353" s="4"/>
      <c r="B7353" s="4"/>
      <c r="C7353" s="4"/>
      <c r="D7353" s="4"/>
      <c r="E7353" s="4"/>
    </row>
    <row r="7354">
      <c r="A7354" s="4"/>
      <c r="B7354" s="4"/>
      <c r="C7354" s="4"/>
      <c r="D7354" s="4"/>
      <c r="E7354" s="4"/>
    </row>
    <row r="7355">
      <c r="A7355" s="4"/>
      <c r="B7355" s="4"/>
      <c r="C7355" s="4"/>
      <c r="D7355" s="4"/>
      <c r="E7355" s="4"/>
    </row>
    <row r="7356">
      <c r="A7356" s="4"/>
      <c r="B7356" s="4"/>
      <c r="C7356" s="4"/>
      <c r="D7356" s="4"/>
      <c r="E7356" s="4"/>
    </row>
    <row r="7357">
      <c r="A7357" s="4"/>
      <c r="B7357" s="4"/>
      <c r="C7357" s="4"/>
      <c r="D7357" s="4"/>
      <c r="E7357" s="4"/>
    </row>
    <row r="7358">
      <c r="A7358" s="4"/>
      <c r="B7358" s="4"/>
      <c r="C7358" s="4"/>
      <c r="D7358" s="4"/>
      <c r="E7358" s="4"/>
    </row>
    <row r="7359">
      <c r="A7359" s="4"/>
      <c r="B7359" s="4"/>
      <c r="C7359" s="4"/>
      <c r="D7359" s="4"/>
      <c r="E7359" s="4"/>
    </row>
    <row r="7360">
      <c r="A7360" s="4"/>
      <c r="B7360" s="4"/>
      <c r="C7360" s="4"/>
      <c r="D7360" s="4"/>
      <c r="E7360" s="4"/>
    </row>
    <row r="7361">
      <c r="A7361" s="4"/>
      <c r="B7361" s="4"/>
      <c r="C7361" s="4"/>
      <c r="D7361" s="4"/>
      <c r="E7361" s="4"/>
    </row>
    <row r="7362">
      <c r="A7362" s="4"/>
      <c r="B7362" s="4"/>
      <c r="C7362" s="4"/>
      <c r="D7362" s="4"/>
      <c r="E7362" s="4"/>
    </row>
    <row r="7363">
      <c r="A7363" s="4"/>
      <c r="B7363" s="4"/>
      <c r="C7363" s="4"/>
      <c r="D7363" s="4"/>
      <c r="E7363" s="4"/>
    </row>
    <row r="7364">
      <c r="A7364" s="4"/>
      <c r="B7364" s="4"/>
      <c r="C7364" s="4"/>
      <c r="D7364" s="4"/>
      <c r="E7364" s="4"/>
    </row>
    <row r="7365">
      <c r="A7365" s="4"/>
      <c r="B7365" s="4"/>
      <c r="C7365" s="4"/>
      <c r="D7365" s="4"/>
      <c r="E7365" s="4"/>
    </row>
    <row r="7366">
      <c r="A7366" s="4"/>
      <c r="B7366" s="4"/>
      <c r="C7366" s="4"/>
      <c r="D7366" s="4"/>
      <c r="E7366" s="4"/>
    </row>
    <row r="7367">
      <c r="A7367" s="4"/>
      <c r="B7367" s="4"/>
      <c r="C7367" s="4"/>
      <c r="D7367" s="4"/>
      <c r="E7367" s="4"/>
    </row>
    <row r="7368">
      <c r="A7368" s="4"/>
      <c r="B7368" s="4"/>
      <c r="C7368" s="4"/>
      <c r="D7368" s="4"/>
      <c r="E7368" s="4"/>
    </row>
    <row r="7369">
      <c r="A7369" s="4"/>
      <c r="B7369" s="4"/>
      <c r="C7369" s="4"/>
      <c r="D7369" s="4"/>
      <c r="E7369" s="4"/>
    </row>
    <row r="7370">
      <c r="A7370" s="4"/>
      <c r="B7370" s="4"/>
      <c r="C7370" s="4"/>
      <c r="D7370" s="4"/>
      <c r="E7370" s="4"/>
    </row>
    <row r="7371">
      <c r="A7371" s="4"/>
      <c r="B7371" s="4"/>
      <c r="C7371" s="4"/>
      <c r="D7371" s="4"/>
      <c r="E7371" s="4"/>
    </row>
    <row r="7372">
      <c r="A7372" s="4"/>
      <c r="B7372" s="4"/>
      <c r="C7372" s="4"/>
      <c r="D7372" s="4"/>
      <c r="E7372" s="4"/>
    </row>
    <row r="7373">
      <c r="A7373" s="4"/>
      <c r="B7373" s="4"/>
      <c r="C7373" s="4"/>
      <c r="D7373" s="4"/>
      <c r="E7373" s="4"/>
    </row>
    <row r="7374">
      <c r="A7374" s="4"/>
      <c r="B7374" s="4"/>
      <c r="C7374" s="4"/>
      <c r="D7374" s="4"/>
      <c r="E7374" s="4"/>
    </row>
    <row r="7375">
      <c r="A7375" s="4"/>
      <c r="B7375" s="4"/>
      <c r="C7375" s="4"/>
      <c r="D7375" s="4"/>
      <c r="E7375" s="4"/>
    </row>
    <row r="7376">
      <c r="A7376" s="4"/>
      <c r="B7376" s="4"/>
      <c r="C7376" s="4"/>
      <c r="D7376" s="4"/>
      <c r="E7376" s="4"/>
    </row>
    <row r="7377">
      <c r="A7377" s="4"/>
      <c r="B7377" s="4"/>
      <c r="C7377" s="4"/>
      <c r="D7377" s="4"/>
      <c r="E7377" s="4"/>
    </row>
    <row r="7378">
      <c r="A7378" s="4"/>
      <c r="B7378" s="4"/>
      <c r="C7378" s="4"/>
      <c r="D7378" s="4"/>
      <c r="E7378" s="4"/>
    </row>
    <row r="7379">
      <c r="A7379" s="4"/>
      <c r="B7379" s="4"/>
      <c r="C7379" s="4"/>
      <c r="D7379" s="4"/>
      <c r="E7379" s="4"/>
    </row>
    <row r="7380">
      <c r="A7380" s="4"/>
      <c r="B7380" s="4"/>
      <c r="C7380" s="4"/>
      <c r="D7380" s="4"/>
      <c r="E7380" s="4"/>
    </row>
    <row r="7381">
      <c r="A7381" s="4"/>
      <c r="B7381" s="4"/>
      <c r="C7381" s="4"/>
      <c r="D7381" s="4"/>
      <c r="E7381" s="4"/>
    </row>
    <row r="7382">
      <c r="A7382" s="4"/>
      <c r="B7382" s="4"/>
      <c r="C7382" s="4"/>
      <c r="D7382" s="4"/>
      <c r="E7382" s="4"/>
    </row>
    <row r="7383">
      <c r="A7383" s="4"/>
      <c r="B7383" s="4"/>
      <c r="C7383" s="4"/>
      <c r="D7383" s="4"/>
      <c r="E7383" s="4"/>
    </row>
    <row r="7384">
      <c r="A7384" s="4"/>
      <c r="B7384" s="4"/>
      <c r="C7384" s="4"/>
      <c r="D7384" s="4"/>
      <c r="E7384" s="4"/>
    </row>
    <row r="7385">
      <c r="A7385" s="4"/>
      <c r="B7385" s="4"/>
      <c r="C7385" s="4"/>
      <c r="D7385" s="4"/>
      <c r="E7385" s="4"/>
    </row>
    <row r="7386">
      <c r="A7386" s="4"/>
      <c r="B7386" s="4"/>
      <c r="C7386" s="4"/>
      <c r="D7386" s="4"/>
      <c r="E7386" s="4"/>
    </row>
    <row r="7387">
      <c r="A7387" s="4"/>
      <c r="B7387" s="4"/>
      <c r="C7387" s="4"/>
      <c r="D7387" s="4"/>
      <c r="E7387" s="4"/>
    </row>
    <row r="7388">
      <c r="A7388" s="4"/>
      <c r="B7388" s="4"/>
      <c r="C7388" s="4"/>
      <c r="D7388" s="4"/>
      <c r="E7388" s="4"/>
    </row>
    <row r="7389">
      <c r="A7389" s="4"/>
      <c r="B7389" s="4"/>
      <c r="C7389" s="4"/>
      <c r="D7389" s="4"/>
      <c r="E7389" s="4"/>
    </row>
    <row r="7390">
      <c r="A7390" s="4"/>
      <c r="B7390" s="4"/>
      <c r="C7390" s="4"/>
      <c r="D7390" s="4"/>
      <c r="E7390" s="4"/>
    </row>
    <row r="7391">
      <c r="A7391" s="4"/>
      <c r="B7391" s="4"/>
      <c r="C7391" s="4"/>
      <c r="D7391" s="4"/>
      <c r="E7391" s="4"/>
    </row>
    <row r="7392">
      <c r="A7392" s="4"/>
      <c r="B7392" s="4"/>
      <c r="C7392" s="4"/>
      <c r="D7392" s="4"/>
      <c r="E7392" s="4"/>
    </row>
    <row r="7393">
      <c r="A7393" s="4"/>
      <c r="B7393" s="4"/>
      <c r="C7393" s="4"/>
      <c r="D7393" s="4"/>
      <c r="E7393" s="4"/>
    </row>
    <row r="7394">
      <c r="A7394" s="4"/>
      <c r="B7394" s="4"/>
      <c r="C7394" s="4"/>
      <c r="D7394" s="4"/>
      <c r="E7394" s="4"/>
    </row>
    <row r="7395">
      <c r="A7395" s="4"/>
      <c r="B7395" s="4"/>
      <c r="C7395" s="4"/>
      <c r="D7395" s="4"/>
      <c r="E7395" s="4"/>
    </row>
    <row r="7396">
      <c r="A7396" s="4"/>
      <c r="B7396" s="4"/>
      <c r="C7396" s="4"/>
      <c r="D7396" s="4"/>
      <c r="E7396" s="4"/>
    </row>
    <row r="7397">
      <c r="A7397" s="4"/>
      <c r="B7397" s="4"/>
      <c r="C7397" s="4"/>
      <c r="D7397" s="4"/>
      <c r="E7397" s="4"/>
    </row>
    <row r="7398">
      <c r="A7398" s="4"/>
      <c r="B7398" s="4"/>
      <c r="C7398" s="4"/>
      <c r="D7398" s="4"/>
      <c r="E7398" s="4"/>
    </row>
    <row r="7399">
      <c r="A7399" s="4"/>
      <c r="B7399" s="4"/>
      <c r="C7399" s="4"/>
      <c r="D7399" s="4"/>
      <c r="E7399" s="4"/>
    </row>
    <row r="7400">
      <c r="A7400" s="4"/>
      <c r="B7400" s="4"/>
      <c r="C7400" s="4"/>
      <c r="D7400" s="4"/>
      <c r="E7400" s="4"/>
    </row>
    <row r="7401">
      <c r="A7401" s="4"/>
      <c r="B7401" s="4"/>
      <c r="C7401" s="4"/>
      <c r="D7401" s="4"/>
      <c r="E7401" s="4"/>
    </row>
    <row r="7402">
      <c r="A7402" s="4"/>
      <c r="B7402" s="4"/>
      <c r="C7402" s="4"/>
      <c r="D7402" s="4"/>
      <c r="E7402" s="4"/>
    </row>
    <row r="7403">
      <c r="A7403" s="4"/>
      <c r="B7403" s="4"/>
      <c r="C7403" s="4"/>
      <c r="D7403" s="4"/>
      <c r="E7403" s="4"/>
    </row>
    <row r="7404">
      <c r="A7404" s="4"/>
      <c r="B7404" s="4"/>
      <c r="C7404" s="4"/>
      <c r="D7404" s="4"/>
      <c r="E7404" s="4"/>
    </row>
    <row r="7405">
      <c r="A7405" s="4"/>
      <c r="B7405" s="4"/>
      <c r="C7405" s="4"/>
      <c r="D7405" s="4"/>
      <c r="E7405" s="4"/>
    </row>
    <row r="7406">
      <c r="A7406" s="4"/>
      <c r="B7406" s="4"/>
      <c r="C7406" s="4"/>
      <c r="D7406" s="4"/>
      <c r="E7406" s="4"/>
    </row>
    <row r="7407">
      <c r="A7407" s="4"/>
      <c r="B7407" s="4"/>
      <c r="C7407" s="4"/>
      <c r="D7407" s="4"/>
      <c r="E7407" s="4"/>
    </row>
    <row r="7408">
      <c r="A7408" s="4"/>
      <c r="B7408" s="4"/>
      <c r="C7408" s="4"/>
      <c r="D7408" s="4"/>
      <c r="E7408" s="4"/>
    </row>
    <row r="7409">
      <c r="A7409" s="4"/>
      <c r="B7409" s="4"/>
      <c r="C7409" s="4"/>
      <c r="D7409" s="4"/>
      <c r="E7409" s="4"/>
    </row>
    <row r="7410">
      <c r="A7410" s="4"/>
      <c r="B7410" s="4"/>
      <c r="C7410" s="4"/>
      <c r="D7410" s="4"/>
      <c r="E7410" s="4"/>
    </row>
    <row r="7411">
      <c r="A7411" s="4"/>
      <c r="B7411" s="4"/>
      <c r="C7411" s="4"/>
      <c r="D7411" s="4"/>
      <c r="E7411" s="4"/>
    </row>
    <row r="7412">
      <c r="A7412" s="4"/>
      <c r="B7412" s="4"/>
      <c r="C7412" s="4"/>
      <c r="D7412" s="4"/>
      <c r="E7412" s="4"/>
    </row>
    <row r="7413">
      <c r="A7413" s="4"/>
      <c r="B7413" s="4"/>
      <c r="C7413" s="4"/>
      <c r="D7413" s="4"/>
      <c r="E7413" s="4"/>
    </row>
    <row r="7414">
      <c r="A7414" s="4"/>
      <c r="B7414" s="4"/>
      <c r="C7414" s="4"/>
      <c r="D7414" s="4"/>
      <c r="E7414" s="4"/>
    </row>
    <row r="7415">
      <c r="A7415" s="4"/>
      <c r="B7415" s="4"/>
      <c r="C7415" s="4"/>
      <c r="D7415" s="4"/>
      <c r="E7415" s="4"/>
    </row>
    <row r="7416">
      <c r="A7416" s="4"/>
      <c r="B7416" s="4"/>
      <c r="C7416" s="4"/>
      <c r="D7416" s="4"/>
      <c r="E7416" s="4"/>
    </row>
    <row r="7417">
      <c r="A7417" s="4"/>
      <c r="B7417" s="4"/>
      <c r="C7417" s="4"/>
      <c r="D7417" s="4"/>
      <c r="E7417" s="4"/>
    </row>
    <row r="7418">
      <c r="A7418" s="4"/>
      <c r="B7418" s="4"/>
      <c r="C7418" s="4"/>
      <c r="D7418" s="4"/>
      <c r="E7418" s="4"/>
    </row>
    <row r="7419">
      <c r="A7419" s="4"/>
      <c r="B7419" s="4"/>
      <c r="C7419" s="4"/>
      <c r="D7419" s="4"/>
      <c r="E7419" s="4"/>
    </row>
    <row r="7420">
      <c r="A7420" s="4"/>
      <c r="B7420" s="4"/>
      <c r="C7420" s="4"/>
      <c r="D7420" s="4"/>
      <c r="E7420" s="4"/>
    </row>
    <row r="7421">
      <c r="A7421" s="4"/>
      <c r="B7421" s="4"/>
      <c r="C7421" s="4"/>
      <c r="D7421" s="4"/>
      <c r="E7421" s="4"/>
    </row>
    <row r="7422">
      <c r="A7422" s="4"/>
      <c r="B7422" s="4"/>
      <c r="C7422" s="4"/>
      <c r="D7422" s="4"/>
      <c r="E7422" s="4"/>
    </row>
    <row r="7423">
      <c r="A7423" s="4"/>
      <c r="B7423" s="4"/>
      <c r="C7423" s="4"/>
      <c r="D7423" s="4"/>
      <c r="E7423" s="4"/>
    </row>
    <row r="7424">
      <c r="A7424" s="4"/>
      <c r="B7424" s="4"/>
      <c r="C7424" s="4"/>
      <c r="D7424" s="4"/>
      <c r="E7424" s="4"/>
    </row>
    <row r="7425">
      <c r="A7425" s="4"/>
      <c r="B7425" s="4"/>
      <c r="C7425" s="4"/>
      <c r="D7425" s="4"/>
      <c r="E7425" s="4"/>
    </row>
    <row r="7426">
      <c r="A7426" s="4"/>
      <c r="B7426" s="4"/>
      <c r="C7426" s="4"/>
      <c r="D7426" s="4"/>
      <c r="E7426" s="4"/>
    </row>
    <row r="7427">
      <c r="A7427" s="4"/>
      <c r="B7427" s="4"/>
      <c r="C7427" s="4"/>
      <c r="D7427" s="4"/>
      <c r="E7427" s="4"/>
    </row>
    <row r="7428">
      <c r="A7428" s="4"/>
      <c r="B7428" s="4"/>
      <c r="C7428" s="4"/>
      <c r="D7428" s="4"/>
      <c r="E7428" s="4"/>
    </row>
    <row r="7429">
      <c r="A7429" s="4"/>
      <c r="B7429" s="4"/>
      <c r="C7429" s="4"/>
      <c r="D7429" s="4"/>
      <c r="E7429" s="4"/>
    </row>
    <row r="7430">
      <c r="A7430" s="4"/>
      <c r="B7430" s="4"/>
      <c r="C7430" s="4"/>
      <c r="D7430" s="4"/>
      <c r="E7430" s="4"/>
    </row>
    <row r="7431">
      <c r="A7431" s="4"/>
      <c r="B7431" s="4"/>
      <c r="C7431" s="4"/>
      <c r="D7431" s="4"/>
      <c r="E7431" s="4"/>
    </row>
    <row r="7432">
      <c r="A7432" s="4"/>
      <c r="B7432" s="4"/>
      <c r="C7432" s="4"/>
      <c r="D7432" s="4"/>
      <c r="E7432" s="4"/>
    </row>
    <row r="7433">
      <c r="A7433" s="4"/>
      <c r="B7433" s="4"/>
      <c r="C7433" s="4"/>
      <c r="D7433" s="4"/>
      <c r="E7433" s="4"/>
    </row>
    <row r="7434">
      <c r="A7434" s="4"/>
      <c r="B7434" s="4"/>
      <c r="C7434" s="4"/>
      <c r="D7434" s="4"/>
      <c r="E7434" s="4"/>
    </row>
    <row r="7435">
      <c r="A7435" s="4"/>
      <c r="B7435" s="4"/>
      <c r="C7435" s="4"/>
      <c r="D7435" s="4"/>
      <c r="E7435" s="4"/>
    </row>
    <row r="7436">
      <c r="A7436" s="4"/>
      <c r="B7436" s="4"/>
      <c r="C7436" s="4"/>
      <c r="D7436" s="4"/>
      <c r="E7436" s="4"/>
    </row>
    <row r="7437">
      <c r="A7437" s="4"/>
      <c r="B7437" s="4"/>
      <c r="C7437" s="4"/>
      <c r="D7437" s="4"/>
      <c r="E7437" s="4"/>
    </row>
    <row r="7438">
      <c r="A7438" s="4"/>
      <c r="B7438" s="4"/>
      <c r="C7438" s="4"/>
      <c r="D7438" s="4"/>
      <c r="E7438" s="4"/>
    </row>
    <row r="7439">
      <c r="A7439" s="4"/>
      <c r="B7439" s="4"/>
      <c r="C7439" s="4"/>
      <c r="D7439" s="4"/>
      <c r="E7439" s="4"/>
    </row>
    <row r="7440">
      <c r="A7440" s="4"/>
      <c r="B7440" s="4"/>
      <c r="C7440" s="4"/>
      <c r="D7440" s="4"/>
      <c r="E7440" s="4"/>
    </row>
    <row r="7441">
      <c r="A7441" s="4"/>
      <c r="B7441" s="4"/>
      <c r="C7441" s="4"/>
      <c r="D7441" s="4"/>
      <c r="E7441" s="4"/>
    </row>
    <row r="7442">
      <c r="A7442" s="4"/>
      <c r="B7442" s="4"/>
      <c r="C7442" s="4"/>
      <c r="D7442" s="4"/>
      <c r="E7442" s="4"/>
    </row>
    <row r="7443">
      <c r="A7443" s="4"/>
      <c r="B7443" s="4"/>
      <c r="C7443" s="4"/>
      <c r="D7443" s="4"/>
      <c r="E7443" s="4"/>
    </row>
    <row r="7444">
      <c r="A7444" s="4"/>
      <c r="B7444" s="4"/>
      <c r="C7444" s="4"/>
      <c r="D7444" s="4"/>
      <c r="E7444" s="4"/>
    </row>
    <row r="7445">
      <c r="A7445" s="4"/>
      <c r="B7445" s="4"/>
      <c r="C7445" s="4"/>
      <c r="D7445" s="4"/>
      <c r="E7445" s="4"/>
    </row>
    <row r="7446">
      <c r="A7446" s="4"/>
      <c r="B7446" s="4"/>
      <c r="C7446" s="4"/>
      <c r="D7446" s="4"/>
      <c r="E7446" s="4"/>
    </row>
    <row r="7447">
      <c r="A7447" s="4"/>
      <c r="B7447" s="4"/>
      <c r="C7447" s="4"/>
      <c r="D7447" s="4"/>
      <c r="E7447" s="4"/>
    </row>
    <row r="7448">
      <c r="A7448" s="4"/>
      <c r="B7448" s="4"/>
      <c r="C7448" s="4"/>
      <c r="D7448" s="4"/>
      <c r="E7448" s="4"/>
    </row>
    <row r="7449">
      <c r="A7449" s="4"/>
      <c r="B7449" s="4"/>
      <c r="C7449" s="4"/>
      <c r="D7449" s="4"/>
      <c r="E7449" s="4"/>
    </row>
    <row r="7450">
      <c r="A7450" s="4"/>
      <c r="B7450" s="4"/>
      <c r="C7450" s="4"/>
      <c r="D7450" s="4"/>
      <c r="E7450" s="4"/>
    </row>
    <row r="7451">
      <c r="A7451" s="4"/>
      <c r="B7451" s="4"/>
      <c r="C7451" s="4"/>
      <c r="D7451" s="4"/>
      <c r="E7451" s="4"/>
    </row>
    <row r="7452">
      <c r="A7452" s="4"/>
      <c r="B7452" s="4"/>
      <c r="C7452" s="4"/>
      <c r="D7452" s="4"/>
      <c r="E7452" s="4"/>
    </row>
    <row r="7453">
      <c r="A7453" s="4"/>
      <c r="B7453" s="4"/>
      <c r="C7453" s="4"/>
      <c r="D7453" s="4"/>
      <c r="E7453" s="4"/>
    </row>
    <row r="7454">
      <c r="A7454" s="4"/>
      <c r="B7454" s="4"/>
      <c r="C7454" s="4"/>
      <c r="D7454" s="4"/>
      <c r="E7454" s="4"/>
    </row>
    <row r="7455">
      <c r="A7455" s="4"/>
      <c r="B7455" s="4"/>
      <c r="C7455" s="4"/>
      <c r="D7455" s="4"/>
      <c r="E7455" s="4"/>
    </row>
    <row r="7456">
      <c r="A7456" s="4"/>
      <c r="B7456" s="4"/>
      <c r="C7456" s="4"/>
      <c r="D7456" s="4"/>
      <c r="E7456" s="4"/>
    </row>
    <row r="7457">
      <c r="A7457" s="4"/>
      <c r="B7457" s="4"/>
      <c r="C7457" s="4"/>
      <c r="D7457" s="4"/>
      <c r="E7457" s="4"/>
    </row>
    <row r="7458">
      <c r="A7458" s="4"/>
      <c r="B7458" s="4"/>
      <c r="C7458" s="4"/>
      <c r="D7458" s="4"/>
      <c r="E7458" s="4"/>
    </row>
    <row r="7459">
      <c r="A7459" s="4"/>
      <c r="B7459" s="4"/>
      <c r="C7459" s="4"/>
      <c r="D7459" s="4"/>
      <c r="E7459" s="4"/>
    </row>
    <row r="7460">
      <c r="A7460" s="4"/>
      <c r="B7460" s="4"/>
      <c r="C7460" s="4"/>
      <c r="D7460" s="4"/>
      <c r="E7460" s="4"/>
    </row>
    <row r="7461">
      <c r="A7461" s="4"/>
      <c r="B7461" s="4"/>
      <c r="C7461" s="4"/>
      <c r="D7461" s="4"/>
      <c r="E7461" s="4"/>
    </row>
    <row r="7462">
      <c r="A7462" s="4"/>
      <c r="B7462" s="4"/>
      <c r="C7462" s="4"/>
      <c r="D7462" s="4"/>
      <c r="E7462" s="4"/>
    </row>
    <row r="7463">
      <c r="A7463" s="4"/>
      <c r="B7463" s="4"/>
      <c r="C7463" s="4"/>
      <c r="D7463" s="4"/>
      <c r="E7463" s="4"/>
    </row>
    <row r="7464">
      <c r="A7464" s="4"/>
      <c r="B7464" s="4"/>
      <c r="C7464" s="4"/>
      <c r="D7464" s="4"/>
      <c r="E7464" s="4"/>
    </row>
    <row r="7465">
      <c r="A7465" s="4"/>
      <c r="B7465" s="4"/>
      <c r="C7465" s="4"/>
      <c r="D7465" s="4"/>
      <c r="E7465" s="4"/>
    </row>
    <row r="7466">
      <c r="A7466" s="4"/>
      <c r="B7466" s="4"/>
      <c r="C7466" s="4"/>
      <c r="D7466" s="4"/>
      <c r="E7466" s="4"/>
    </row>
    <row r="7467">
      <c r="A7467" s="4"/>
      <c r="B7467" s="4"/>
      <c r="C7467" s="4"/>
      <c r="D7467" s="4"/>
      <c r="E7467" s="4"/>
    </row>
    <row r="7468">
      <c r="A7468" s="4"/>
      <c r="B7468" s="4"/>
      <c r="C7468" s="4"/>
      <c r="D7468" s="4"/>
      <c r="E7468" s="4"/>
    </row>
    <row r="7469">
      <c r="A7469" s="4"/>
      <c r="B7469" s="4"/>
      <c r="C7469" s="4"/>
      <c r="D7469" s="4"/>
      <c r="E7469" s="4"/>
    </row>
    <row r="7470">
      <c r="A7470" s="4"/>
      <c r="B7470" s="4"/>
      <c r="C7470" s="4"/>
      <c r="D7470" s="4"/>
      <c r="E7470" s="4"/>
    </row>
    <row r="7471">
      <c r="A7471" s="4"/>
      <c r="B7471" s="4"/>
      <c r="C7471" s="4"/>
      <c r="D7471" s="4"/>
      <c r="E7471" s="4"/>
    </row>
    <row r="7472">
      <c r="A7472" s="4"/>
      <c r="B7472" s="4"/>
      <c r="C7472" s="4"/>
      <c r="D7472" s="4"/>
      <c r="E7472" s="4"/>
    </row>
    <row r="7473">
      <c r="A7473" s="4"/>
      <c r="B7473" s="4"/>
      <c r="C7473" s="4"/>
      <c r="D7473" s="4"/>
      <c r="E7473" s="4"/>
    </row>
    <row r="7474">
      <c r="A7474" s="4"/>
      <c r="B7474" s="4"/>
      <c r="C7474" s="4"/>
      <c r="D7474" s="4"/>
      <c r="E7474" s="4"/>
    </row>
    <row r="7475">
      <c r="A7475" s="4"/>
      <c r="B7475" s="4"/>
      <c r="C7475" s="4"/>
      <c r="D7475" s="4"/>
      <c r="E7475" s="4"/>
    </row>
    <row r="7476">
      <c r="A7476" s="4"/>
      <c r="B7476" s="4"/>
      <c r="C7476" s="4"/>
      <c r="D7476" s="4"/>
      <c r="E7476" s="4"/>
    </row>
    <row r="7477">
      <c r="A7477" s="4"/>
      <c r="B7477" s="4"/>
      <c r="C7477" s="4"/>
      <c r="D7477" s="4"/>
      <c r="E7477" s="4"/>
    </row>
    <row r="7478">
      <c r="A7478" s="4"/>
      <c r="B7478" s="4"/>
      <c r="C7478" s="4"/>
      <c r="D7478" s="4"/>
      <c r="E7478" s="4"/>
    </row>
    <row r="7479">
      <c r="A7479" s="4"/>
      <c r="B7479" s="4"/>
      <c r="C7479" s="4"/>
      <c r="D7479" s="4"/>
      <c r="E7479" s="4"/>
    </row>
    <row r="7480">
      <c r="A7480" s="4"/>
      <c r="B7480" s="4"/>
      <c r="C7480" s="4"/>
      <c r="D7480" s="4"/>
      <c r="E7480" s="4"/>
    </row>
    <row r="7481">
      <c r="A7481" s="4"/>
      <c r="B7481" s="4"/>
      <c r="C7481" s="4"/>
      <c r="D7481" s="4"/>
      <c r="E7481" s="4"/>
    </row>
    <row r="7482">
      <c r="A7482" s="4"/>
      <c r="B7482" s="4"/>
      <c r="C7482" s="4"/>
      <c r="D7482" s="4"/>
      <c r="E7482" s="4"/>
    </row>
    <row r="7483">
      <c r="A7483" s="4"/>
      <c r="B7483" s="4"/>
      <c r="C7483" s="4"/>
      <c r="D7483" s="4"/>
      <c r="E7483" s="4"/>
    </row>
    <row r="7484">
      <c r="A7484" s="4"/>
      <c r="B7484" s="4"/>
      <c r="C7484" s="4"/>
      <c r="D7484" s="4"/>
      <c r="E7484" s="4"/>
    </row>
    <row r="7485">
      <c r="A7485" s="4"/>
      <c r="B7485" s="4"/>
      <c r="C7485" s="4"/>
      <c r="D7485" s="4"/>
      <c r="E7485" s="4"/>
    </row>
    <row r="7486">
      <c r="A7486" s="4"/>
      <c r="B7486" s="4"/>
      <c r="C7486" s="4"/>
      <c r="D7486" s="4"/>
      <c r="E7486" s="4"/>
    </row>
    <row r="7487">
      <c r="A7487" s="4"/>
      <c r="B7487" s="4"/>
      <c r="C7487" s="4"/>
      <c r="D7487" s="4"/>
      <c r="E7487" s="4"/>
    </row>
    <row r="7488">
      <c r="A7488" s="4"/>
      <c r="B7488" s="4"/>
      <c r="C7488" s="4"/>
      <c r="D7488" s="4"/>
      <c r="E7488" s="4"/>
    </row>
    <row r="7489">
      <c r="A7489" s="4"/>
      <c r="B7489" s="4"/>
      <c r="C7489" s="4"/>
      <c r="D7489" s="4"/>
      <c r="E7489" s="4"/>
    </row>
    <row r="7490">
      <c r="A7490" s="4"/>
      <c r="B7490" s="4"/>
      <c r="C7490" s="4"/>
      <c r="D7490" s="4"/>
      <c r="E7490" s="4"/>
    </row>
    <row r="7491">
      <c r="A7491" s="4"/>
      <c r="B7491" s="4"/>
      <c r="C7491" s="4"/>
      <c r="D7491" s="4"/>
      <c r="E7491" s="4"/>
    </row>
    <row r="7492">
      <c r="A7492" s="4"/>
      <c r="B7492" s="4"/>
      <c r="C7492" s="4"/>
      <c r="D7492" s="4"/>
      <c r="E7492" s="4"/>
    </row>
    <row r="7493">
      <c r="A7493" s="4"/>
      <c r="B7493" s="4"/>
      <c r="C7493" s="4"/>
      <c r="D7493" s="4"/>
      <c r="E7493" s="4"/>
    </row>
    <row r="7494">
      <c r="A7494" s="4"/>
      <c r="B7494" s="4"/>
      <c r="C7494" s="4"/>
      <c r="D7494" s="4"/>
      <c r="E7494" s="4"/>
    </row>
    <row r="7495">
      <c r="A7495" s="4"/>
      <c r="B7495" s="4"/>
      <c r="C7495" s="4"/>
      <c r="D7495" s="4"/>
      <c r="E7495" s="4"/>
    </row>
    <row r="7496">
      <c r="A7496" s="4"/>
      <c r="B7496" s="4"/>
      <c r="C7496" s="4"/>
      <c r="D7496" s="4"/>
      <c r="E7496" s="4"/>
    </row>
    <row r="7497">
      <c r="A7497" s="4"/>
      <c r="B7497" s="4"/>
      <c r="C7497" s="4"/>
      <c r="D7497" s="4"/>
      <c r="E7497" s="4"/>
    </row>
    <row r="7498">
      <c r="A7498" s="4"/>
      <c r="B7498" s="4"/>
      <c r="C7498" s="4"/>
      <c r="D7498" s="4"/>
      <c r="E7498" s="4"/>
    </row>
    <row r="7499">
      <c r="A7499" s="4"/>
      <c r="B7499" s="4"/>
      <c r="C7499" s="4"/>
      <c r="D7499" s="4"/>
      <c r="E7499" s="4"/>
    </row>
    <row r="7500">
      <c r="A7500" s="4"/>
      <c r="B7500" s="4"/>
      <c r="C7500" s="4"/>
      <c r="D7500" s="4"/>
      <c r="E7500" s="4"/>
    </row>
    <row r="7501">
      <c r="A7501" s="4"/>
      <c r="B7501" s="4"/>
      <c r="C7501" s="4"/>
      <c r="D7501" s="4"/>
      <c r="E7501" s="4"/>
    </row>
    <row r="7502">
      <c r="A7502" s="4"/>
      <c r="B7502" s="4"/>
      <c r="C7502" s="4"/>
      <c r="D7502" s="4"/>
      <c r="E7502" s="4"/>
    </row>
    <row r="7503">
      <c r="A7503" s="4"/>
      <c r="B7503" s="4"/>
      <c r="C7503" s="4"/>
      <c r="D7503" s="4"/>
      <c r="E7503" s="4"/>
    </row>
    <row r="7504">
      <c r="A7504" s="4"/>
      <c r="B7504" s="4"/>
      <c r="C7504" s="4"/>
      <c r="D7504" s="4"/>
      <c r="E7504" s="4"/>
    </row>
    <row r="7505">
      <c r="A7505" s="4"/>
      <c r="B7505" s="4"/>
      <c r="C7505" s="4"/>
      <c r="D7505" s="4"/>
      <c r="E7505" s="4"/>
    </row>
    <row r="7506">
      <c r="A7506" s="4"/>
      <c r="B7506" s="4"/>
      <c r="C7506" s="4"/>
      <c r="D7506" s="4"/>
      <c r="E7506" s="4"/>
    </row>
    <row r="7507">
      <c r="A7507" s="4"/>
      <c r="B7507" s="4"/>
      <c r="C7507" s="4"/>
      <c r="D7507" s="4"/>
      <c r="E7507" s="4"/>
    </row>
    <row r="7508">
      <c r="A7508" s="4"/>
      <c r="B7508" s="4"/>
      <c r="C7508" s="4"/>
      <c r="D7508" s="4"/>
      <c r="E7508" s="4"/>
    </row>
    <row r="7509">
      <c r="A7509" s="4"/>
      <c r="B7509" s="4"/>
      <c r="C7509" s="4"/>
      <c r="D7509" s="4"/>
      <c r="E7509" s="4"/>
    </row>
    <row r="7510">
      <c r="A7510" s="4"/>
      <c r="B7510" s="4"/>
      <c r="C7510" s="4"/>
      <c r="D7510" s="4"/>
      <c r="E7510" s="4"/>
    </row>
    <row r="7511">
      <c r="A7511" s="4"/>
      <c r="B7511" s="4"/>
      <c r="C7511" s="4"/>
      <c r="D7511" s="4"/>
      <c r="E7511" s="4"/>
    </row>
    <row r="7512">
      <c r="A7512" s="4"/>
      <c r="B7512" s="4"/>
      <c r="C7512" s="4"/>
      <c r="D7512" s="4"/>
      <c r="E7512" s="4"/>
    </row>
    <row r="7513">
      <c r="A7513" s="4"/>
      <c r="B7513" s="4"/>
      <c r="C7513" s="4"/>
      <c r="D7513" s="4"/>
      <c r="E7513" s="4"/>
    </row>
    <row r="7514">
      <c r="A7514" s="4"/>
      <c r="B7514" s="4"/>
      <c r="C7514" s="4"/>
      <c r="D7514" s="4"/>
      <c r="E7514" s="4"/>
    </row>
    <row r="7515">
      <c r="A7515" s="4"/>
      <c r="B7515" s="4"/>
      <c r="C7515" s="4"/>
      <c r="D7515" s="4"/>
      <c r="E7515" s="4"/>
    </row>
    <row r="7516">
      <c r="A7516" s="4"/>
      <c r="B7516" s="4"/>
      <c r="C7516" s="4"/>
      <c r="D7516" s="4"/>
      <c r="E7516" s="4"/>
    </row>
    <row r="7517">
      <c r="A7517" s="4"/>
      <c r="B7517" s="4"/>
      <c r="C7517" s="4"/>
      <c r="D7517" s="4"/>
      <c r="E7517" s="4"/>
    </row>
    <row r="7518">
      <c r="A7518" s="4"/>
      <c r="B7518" s="4"/>
      <c r="C7518" s="4"/>
      <c r="D7518" s="4"/>
      <c r="E7518" s="4"/>
    </row>
    <row r="7519">
      <c r="A7519" s="4"/>
      <c r="B7519" s="4"/>
      <c r="C7519" s="4"/>
      <c r="D7519" s="4"/>
      <c r="E7519" s="4"/>
    </row>
    <row r="7520">
      <c r="A7520" s="4"/>
      <c r="B7520" s="4"/>
      <c r="C7520" s="4"/>
      <c r="D7520" s="4"/>
      <c r="E7520" s="4"/>
    </row>
    <row r="7521">
      <c r="A7521" s="4"/>
      <c r="B7521" s="4"/>
      <c r="C7521" s="4"/>
      <c r="D7521" s="4"/>
      <c r="E7521" s="4"/>
    </row>
    <row r="7522">
      <c r="A7522" s="4"/>
      <c r="B7522" s="4"/>
      <c r="C7522" s="4"/>
      <c r="D7522" s="4"/>
      <c r="E7522" s="4"/>
    </row>
    <row r="7523">
      <c r="A7523" s="4"/>
      <c r="B7523" s="4"/>
      <c r="C7523" s="4"/>
      <c r="D7523" s="4"/>
      <c r="E7523" s="4"/>
    </row>
    <row r="7524">
      <c r="A7524" s="4"/>
      <c r="B7524" s="4"/>
      <c r="C7524" s="4"/>
      <c r="D7524" s="4"/>
      <c r="E7524" s="4"/>
    </row>
    <row r="7525">
      <c r="A7525" s="4"/>
      <c r="B7525" s="4"/>
      <c r="C7525" s="4"/>
      <c r="D7525" s="4"/>
      <c r="E7525" s="4"/>
    </row>
    <row r="7526">
      <c r="A7526" s="4"/>
      <c r="B7526" s="4"/>
      <c r="C7526" s="4"/>
      <c r="D7526" s="4"/>
      <c r="E7526" s="4"/>
    </row>
    <row r="7527">
      <c r="A7527" s="4"/>
      <c r="B7527" s="4"/>
      <c r="C7527" s="4"/>
      <c r="D7527" s="4"/>
      <c r="E7527" s="4"/>
    </row>
    <row r="7528">
      <c r="A7528" s="4"/>
      <c r="B7528" s="4"/>
      <c r="C7528" s="4"/>
      <c r="D7528" s="4"/>
      <c r="E7528" s="4"/>
    </row>
    <row r="7529">
      <c r="A7529" s="4"/>
      <c r="B7529" s="4"/>
      <c r="C7529" s="4"/>
      <c r="D7529" s="4"/>
      <c r="E7529" s="4"/>
    </row>
    <row r="7530">
      <c r="A7530" s="4"/>
      <c r="B7530" s="4"/>
      <c r="C7530" s="4"/>
      <c r="D7530" s="4"/>
      <c r="E7530" s="4"/>
    </row>
    <row r="7531">
      <c r="A7531" s="4"/>
      <c r="B7531" s="4"/>
      <c r="C7531" s="4"/>
      <c r="D7531" s="4"/>
      <c r="E7531" s="4"/>
    </row>
    <row r="7532">
      <c r="A7532" s="4"/>
      <c r="B7532" s="4"/>
      <c r="C7532" s="4"/>
      <c r="D7532" s="4"/>
      <c r="E7532" s="4"/>
    </row>
    <row r="7533">
      <c r="A7533" s="4"/>
      <c r="B7533" s="4"/>
      <c r="C7533" s="4"/>
      <c r="D7533" s="4"/>
      <c r="E7533" s="4"/>
    </row>
    <row r="7534">
      <c r="A7534" s="4"/>
      <c r="B7534" s="4"/>
      <c r="C7534" s="4"/>
      <c r="D7534" s="4"/>
      <c r="E7534" s="4"/>
    </row>
    <row r="7535">
      <c r="A7535" s="4"/>
      <c r="B7535" s="4"/>
      <c r="C7535" s="4"/>
      <c r="D7535" s="4"/>
      <c r="E7535" s="4"/>
    </row>
    <row r="7536">
      <c r="A7536" s="4"/>
      <c r="B7536" s="4"/>
      <c r="C7536" s="4"/>
      <c r="D7536" s="4"/>
      <c r="E7536" s="4"/>
    </row>
    <row r="7537">
      <c r="A7537" s="4"/>
      <c r="B7537" s="4"/>
      <c r="C7537" s="4"/>
      <c r="D7537" s="4"/>
      <c r="E7537" s="4"/>
    </row>
    <row r="7538">
      <c r="A7538" s="4"/>
      <c r="B7538" s="4"/>
      <c r="C7538" s="4"/>
      <c r="D7538" s="4"/>
      <c r="E7538" s="4"/>
    </row>
    <row r="7539">
      <c r="A7539" s="4"/>
      <c r="B7539" s="4"/>
      <c r="C7539" s="4"/>
      <c r="D7539" s="4"/>
      <c r="E7539" s="4"/>
    </row>
    <row r="7540">
      <c r="A7540" s="4"/>
      <c r="B7540" s="4"/>
      <c r="C7540" s="4"/>
      <c r="D7540" s="4"/>
      <c r="E7540" s="4"/>
    </row>
    <row r="7541">
      <c r="A7541" s="4"/>
      <c r="B7541" s="4"/>
      <c r="C7541" s="4"/>
      <c r="D7541" s="4"/>
      <c r="E7541" s="4"/>
    </row>
    <row r="7542">
      <c r="A7542" s="4"/>
      <c r="B7542" s="4"/>
      <c r="C7542" s="4"/>
      <c r="D7542" s="4"/>
      <c r="E7542" s="4"/>
    </row>
    <row r="7543">
      <c r="A7543" s="4"/>
      <c r="B7543" s="4"/>
      <c r="C7543" s="4"/>
      <c r="D7543" s="4"/>
      <c r="E7543" s="4"/>
    </row>
    <row r="7544">
      <c r="A7544" s="4"/>
      <c r="B7544" s="4"/>
      <c r="C7544" s="4"/>
      <c r="D7544" s="4"/>
      <c r="E7544" s="4"/>
    </row>
    <row r="7545">
      <c r="A7545" s="4"/>
      <c r="B7545" s="4"/>
      <c r="C7545" s="4"/>
      <c r="D7545" s="4"/>
      <c r="E7545" s="4"/>
    </row>
    <row r="7546">
      <c r="A7546" s="4"/>
      <c r="B7546" s="4"/>
      <c r="C7546" s="4"/>
      <c r="D7546" s="4"/>
      <c r="E7546" s="4"/>
    </row>
    <row r="7547">
      <c r="A7547" s="4"/>
      <c r="B7547" s="4"/>
      <c r="C7547" s="4"/>
      <c r="D7547" s="4"/>
      <c r="E7547" s="4"/>
    </row>
    <row r="7548">
      <c r="A7548" s="4"/>
      <c r="B7548" s="4"/>
      <c r="C7548" s="4"/>
      <c r="D7548" s="4"/>
      <c r="E7548" s="4"/>
    </row>
    <row r="7549">
      <c r="A7549" s="4"/>
      <c r="B7549" s="4"/>
      <c r="C7549" s="4"/>
      <c r="D7549" s="4"/>
      <c r="E7549" s="4"/>
    </row>
    <row r="7550">
      <c r="A7550" s="4"/>
      <c r="B7550" s="4"/>
      <c r="C7550" s="4"/>
      <c r="D7550" s="4"/>
      <c r="E7550" s="4"/>
    </row>
    <row r="7551">
      <c r="A7551" s="4"/>
      <c r="B7551" s="4"/>
      <c r="C7551" s="4"/>
      <c r="D7551" s="4"/>
      <c r="E7551" s="4"/>
    </row>
    <row r="7552">
      <c r="A7552" s="4"/>
      <c r="B7552" s="4"/>
      <c r="C7552" s="4"/>
      <c r="D7552" s="4"/>
      <c r="E7552" s="4"/>
    </row>
    <row r="7553">
      <c r="A7553" s="4"/>
      <c r="B7553" s="4"/>
      <c r="C7553" s="4"/>
      <c r="D7553" s="4"/>
      <c r="E7553" s="4"/>
    </row>
    <row r="7554">
      <c r="A7554" s="4"/>
      <c r="B7554" s="4"/>
      <c r="C7554" s="4"/>
      <c r="D7554" s="4"/>
      <c r="E7554" s="4"/>
    </row>
    <row r="7555">
      <c r="A7555" s="4"/>
      <c r="B7555" s="4"/>
      <c r="C7555" s="4"/>
      <c r="D7555" s="4"/>
      <c r="E7555" s="4"/>
    </row>
    <row r="7556">
      <c r="A7556" s="4"/>
      <c r="B7556" s="4"/>
      <c r="C7556" s="4"/>
      <c r="D7556" s="4"/>
      <c r="E7556" s="4"/>
    </row>
    <row r="7557">
      <c r="A7557" s="4"/>
      <c r="B7557" s="4"/>
      <c r="C7557" s="4"/>
      <c r="D7557" s="4"/>
      <c r="E7557" s="4"/>
    </row>
    <row r="7558">
      <c r="A7558" s="4"/>
      <c r="B7558" s="4"/>
      <c r="C7558" s="4"/>
      <c r="D7558" s="4"/>
      <c r="E7558" s="4"/>
    </row>
    <row r="7559">
      <c r="A7559" s="4"/>
      <c r="B7559" s="4"/>
      <c r="C7559" s="4"/>
      <c r="D7559" s="4"/>
      <c r="E7559" s="4"/>
    </row>
    <row r="7560">
      <c r="A7560" s="4"/>
      <c r="B7560" s="4"/>
      <c r="C7560" s="4"/>
      <c r="D7560" s="4"/>
      <c r="E7560" s="4"/>
    </row>
    <row r="7561">
      <c r="A7561" s="4"/>
      <c r="B7561" s="4"/>
      <c r="C7561" s="4"/>
      <c r="D7561" s="4"/>
      <c r="E7561" s="4"/>
    </row>
    <row r="7562">
      <c r="A7562" s="4"/>
      <c r="B7562" s="4"/>
      <c r="C7562" s="4"/>
      <c r="D7562" s="4"/>
      <c r="E7562" s="4"/>
    </row>
    <row r="7563">
      <c r="A7563" s="4"/>
      <c r="B7563" s="4"/>
      <c r="C7563" s="4"/>
      <c r="D7563" s="4"/>
      <c r="E7563" s="4"/>
    </row>
    <row r="7564">
      <c r="A7564" s="4"/>
      <c r="B7564" s="4"/>
      <c r="C7564" s="4"/>
      <c r="D7564" s="4"/>
      <c r="E7564" s="4"/>
    </row>
    <row r="7565">
      <c r="A7565" s="4"/>
      <c r="B7565" s="4"/>
      <c r="C7565" s="4"/>
      <c r="D7565" s="4"/>
      <c r="E7565" s="4"/>
    </row>
    <row r="7566">
      <c r="A7566" s="4"/>
      <c r="B7566" s="4"/>
      <c r="C7566" s="4"/>
      <c r="D7566" s="4"/>
      <c r="E7566" s="4"/>
    </row>
    <row r="7567">
      <c r="A7567" s="4"/>
      <c r="B7567" s="4"/>
      <c r="C7567" s="4"/>
      <c r="D7567" s="4"/>
      <c r="E7567" s="4"/>
    </row>
    <row r="7568">
      <c r="A7568" s="4"/>
      <c r="B7568" s="4"/>
      <c r="C7568" s="4"/>
      <c r="D7568" s="4"/>
      <c r="E7568" s="4"/>
    </row>
    <row r="7569">
      <c r="A7569" s="4"/>
      <c r="B7569" s="4"/>
      <c r="C7569" s="4"/>
      <c r="D7569" s="4"/>
      <c r="E7569" s="4"/>
    </row>
    <row r="7570">
      <c r="A7570" s="4"/>
      <c r="B7570" s="4"/>
      <c r="C7570" s="4"/>
      <c r="D7570" s="4"/>
      <c r="E7570" s="4"/>
    </row>
    <row r="7571">
      <c r="A7571" s="4"/>
      <c r="B7571" s="4"/>
      <c r="C7571" s="4"/>
      <c r="D7571" s="4"/>
      <c r="E7571" s="4"/>
    </row>
    <row r="7572">
      <c r="A7572" s="4"/>
      <c r="B7572" s="4"/>
      <c r="C7572" s="4"/>
      <c r="D7572" s="4"/>
      <c r="E7572" s="4"/>
    </row>
    <row r="7573">
      <c r="A7573" s="4"/>
      <c r="B7573" s="4"/>
      <c r="C7573" s="4"/>
      <c r="D7573" s="4"/>
      <c r="E7573" s="4"/>
    </row>
    <row r="7574">
      <c r="A7574" s="4"/>
      <c r="B7574" s="4"/>
      <c r="C7574" s="4"/>
      <c r="D7574" s="4"/>
      <c r="E7574" s="4"/>
    </row>
    <row r="7575">
      <c r="A7575" s="4"/>
      <c r="B7575" s="4"/>
      <c r="C7575" s="4"/>
      <c r="D7575" s="4"/>
      <c r="E7575" s="4"/>
    </row>
    <row r="7576">
      <c r="A7576" s="4"/>
      <c r="B7576" s="4"/>
      <c r="C7576" s="4"/>
      <c r="D7576" s="4"/>
      <c r="E7576" s="4"/>
    </row>
    <row r="7577">
      <c r="A7577" s="4"/>
      <c r="B7577" s="4"/>
      <c r="C7577" s="4"/>
      <c r="D7577" s="4"/>
      <c r="E7577" s="4"/>
    </row>
    <row r="7578">
      <c r="A7578" s="4"/>
      <c r="B7578" s="4"/>
      <c r="C7578" s="4"/>
      <c r="D7578" s="4"/>
      <c r="E7578" s="4"/>
    </row>
    <row r="7579">
      <c r="A7579" s="4"/>
      <c r="B7579" s="4"/>
      <c r="C7579" s="4"/>
      <c r="D7579" s="4"/>
      <c r="E7579" s="4"/>
    </row>
    <row r="7580">
      <c r="A7580" s="4"/>
      <c r="B7580" s="4"/>
      <c r="C7580" s="4"/>
      <c r="D7580" s="4"/>
      <c r="E7580" s="4"/>
    </row>
    <row r="7581">
      <c r="A7581" s="4"/>
      <c r="B7581" s="4"/>
      <c r="C7581" s="4"/>
      <c r="D7581" s="4"/>
      <c r="E7581" s="4"/>
    </row>
    <row r="7582">
      <c r="A7582" s="4"/>
      <c r="B7582" s="4"/>
      <c r="C7582" s="4"/>
      <c r="D7582" s="4"/>
      <c r="E7582" s="4"/>
    </row>
    <row r="7583">
      <c r="A7583" s="4"/>
      <c r="B7583" s="4"/>
      <c r="C7583" s="4"/>
      <c r="D7583" s="4"/>
      <c r="E7583" s="4"/>
    </row>
    <row r="7584">
      <c r="A7584" s="4"/>
      <c r="B7584" s="4"/>
      <c r="C7584" s="4"/>
      <c r="D7584" s="4"/>
      <c r="E7584" s="4"/>
    </row>
    <row r="7585">
      <c r="A7585" s="4"/>
      <c r="B7585" s="4"/>
      <c r="C7585" s="4"/>
      <c r="D7585" s="4"/>
      <c r="E7585" s="4"/>
    </row>
    <row r="7586">
      <c r="A7586" s="4"/>
      <c r="B7586" s="4"/>
      <c r="C7586" s="4"/>
      <c r="D7586" s="4"/>
      <c r="E7586" s="4"/>
    </row>
    <row r="7587">
      <c r="A7587" s="4"/>
      <c r="B7587" s="4"/>
      <c r="C7587" s="4"/>
      <c r="D7587" s="4"/>
      <c r="E7587" s="4"/>
    </row>
    <row r="7588">
      <c r="A7588" s="4"/>
      <c r="B7588" s="4"/>
      <c r="C7588" s="4"/>
      <c r="D7588" s="4"/>
      <c r="E7588" s="4"/>
    </row>
    <row r="7589">
      <c r="A7589" s="4"/>
      <c r="B7589" s="4"/>
      <c r="C7589" s="4"/>
      <c r="D7589" s="4"/>
      <c r="E7589" s="4"/>
    </row>
    <row r="7590">
      <c r="A7590" s="4"/>
      <c r="B7590" s="4"/>
      <c r="C7590" s="4"/>
      <c r="D7590" s="4"/>
      <c r="E7590" s="4"/>
    </row>
    <row r="7591">
      <c r="A7591" s="4"/>
      <c r="B7591" s="4"/>
      <c r="C7591" s="4"/>
      <c r="D7591" s="4"/>
      <c r="E7591" s="4"/>
    </row>
    <row r="7592">
      <c r="A7592" s="4"/>
      <c r="B7592" s="4"/>
      <c r="C7592" s="4"/>
      <c r="D7592" s="4"/>
      <c r="E7592" s="4"/>
    </row>
    <row r="7593">
      <c r="A7593" s="4"/>
      <c r="B7593" s="4"/>
      <c r="C7593" s="4"/>
      <c r="D7593" s="4"/>
      <c r="E7593" s="4"/>
    </row>
    <row r="7594">
      <c r="A7594" s="4"/>
      <c r="B7594" s="4"/>
      <c r="C7594" s="4"/>
      <c r="D7594" s="4"/>
      <c r="E7594" s="4"/>
    </row>
    <row r="7595">
      <c r="A7595" s="4"/>
      <c r="B7595" s="4"/>
      <c r="C7595" s="4"/>
      <c r="D7595" s="4"/>
      <c r="E7595" s="4"/>
    </row>
    <row r="7596">
      <c r="A7596" s="4"/>
      <c r="B7596" s="4"/>
      <c r="C7596" s="4"/>
      <c r="D7596" s="4"/>
      <c r="E7596" s="4"/>
    </row>
    <row r="7597">
      <c r="A7597" s="4"/>
      <c r="B7597" s="4"/>
      <c r="C7597" s="4"/>
      <c r="D7597" s="4"/>
      <c r="E7597" s="4"/>
    </row>
    <row r="7598">
      <c r="A7598" s="4"/>
      <c r="B7598" s="4"/>
      <c r="C7598" s="4"/>
      <c r="D7598" s="4"/>
      <c r="E7598" s="4"/>
    </row>
    <row r="7599">
      <c r="A7599" s="4"/>
      <c r="B7599" s="4"/>
      <c r="C7599" s="4"/>
      <c r="D7599" s="4"/>
      <c r="E7599" s="4"/>
    </row>
    <row r="7600">
      <c r="A7600" s="4"/>
      <c r="B7600" s="4"/>
      <c r="C7600" s="4"/>
      <c r="D7600" s="4"/>
      <c r="E7600" s="4"/>
    </row>
    <row r="7601">
      <c r="A7601" s="4"/>
      <c r="B7601" s="4"/>
      <c r="C7601" s="4"/>
      <c r="D7601" s="4"/>
      <c r="E7601" s="4"/>
    </row>
    <row r="7602">
      <c r="A7602" s="4"/>
      <c r="B7602" s="4"/>
      <c r="C7602" s="4"/>
      <c r="D7602" s="4"/>
      <c r="E7602" s="4"/>
    </row>
    <row r="7603">
      <c r="A7603" s="4"/>
      <c r="B7603" s="4"/>
      <c r="C7603" s="4"/>
      <c r="D7603" s="4"/>
      <c r="E7603" s="4"/>
    </row>
    <row r="7604">
      <c r="A7604" s="4"/>
      <c r="B7604" s="4"/>
      <c r="C7604" s="4"/>
      <c r="D7604" s="4"/>
      <c r="E7604" s="4"/>
    </row>
    <row r="7605">
      <c r="A7605" s="4"/>
      <c r="B7605" s="4"/>
      <c r="C7605" s="4"/>
      <c r="D7605" s="4"/>
      <c r="E7605" s="4"/>
    </row>
    <row r="7606">
      <c r="A7606" s="4"/>
      <c r="B7606" s="4"/>
      <c r="C7606" s="4"/>
      <c r="D7606" s="4"/>
      <c r="E7606" s="4"/>
    </row>
    <row r="7607">
      <c r="A7607" s="4"/>
      <c r="B7607" s="4"/>
      <c r="C7607" s="4"/>
      <c r="D7607" s="4"/>
      <c r="E7607" s="4"/>
    </row>
    <row r="7608">
      <c r="A7608" s="4"/>
      <c r="B7608" s="4"/>
      <c r="C7608" s="4"/>
      <c r="D7608" s="4"/>
      <c r="E7608" s="4"/>
    </row>
    <row r="7609">
      <c r="A7609" s="4"/>
      <c r="B7609" s="4"/>
      <c r="C7609" s="4"/>
      <c r="D7609" s="4"/>
      <c r="E7609" s="4"/>
    </row>
    <row r="7610">
      <c r="A7610" s="4"/>
      <c r="B7610" s="4"/>
      <c r="C7610" s="4"/>
      <c r="D7610" s="4"/>
      <c r="E7610" s="4"/>
    </row>
    <row r="7611">
      <c r="A7611" s="4"/>
      <c r="B7611" s="4"/>
      <c r="C7611" s="4"/>
      <c r="D7611" s="4"/>
      <c r="E7611" s="4"/>
    </row>
    <row r="7612">
      <c r="A7612" s="4"/>
      <c r="B7612" s="4"/>
      <c r="C7612" s="4"/>
      <c r="D7612" s="4"/>
      <c r="E7612" s="4"/>
    </row>
    <row r="7613">
      <c r="A7613" s="4"/>
      <c r="B7613" s="4"/>
      <c r="C7613" s="4"/>
      <c r="D7613" s="4"/>
      <c r="E7613" s="4"/>
    </row>
    <row r="7614">
      <c r="A7614" s="4"/>
      <c r="B7614" s="4"/>
      <c r="C7614" s="4"/>
      <c r="D7614" s="4"/>
      <c r="E7614" s="4"/>
    </row>
    <row r="7615">
      <c r="A7615" s="4"/>
      <c r="B7615" s="4"/>
      <c r="C7615" s="4"/>
      <c r="D7615" s="4"/>
      <c r="E7615" s="4"/>
    </row>
    <row r="7616">
      <c r="A7616" s="4"/>
      <c r="B7616" s="4"/>
      <c r="C7616" s="4"/>
      <c r="D7616" s="4"/>
      <c r="E7616" s="4"/>
    </row>
    <row r="7617">
      <c r="A7617" s="4"/>
      <c r="B7617" s="4"/>
      <c r="C7617" s="4"/>
      <c r="D7617" s="4"/>
      <c r="E7617" s="4"/>
    </row>
    <row r="7618">
      <c r="A7618" s="4"/>
      <c r="B7618" s="4"/>
      <c r="C7618" s="4"/>
      <c r="D7618" s="4"/>
      <c r="E7618" s="4"/>
    </row>
    <row r="7619">
      <c r="A7619" s="4"/>
      <c r="B7619" s="4"/>
      <c r="C7619" s="4"/>
      <c r="D7619" s="4"/>
      <c r="E7619" s="4"/>
    </row>
    <row r="7620">
      <c r="A7620" s="4"/>
      <c r="B7620" s="4"/>
      <c r="C7620" s="4"/>
      <c r="D7620" s="4"/>
      <c r="E7620" s="4"/>
    </row>
    <row r="7621">
      <c r="A7621" s="4"/>
      <c r="B7621" s="4"/>
      <c r="C7621" s="4"/>
      <c r="D7621" s="4"/>
      <c r="E7621" s="4"/>
    </row>
    <row r="7622">
      <c r="A7622" s="4"/>
      <c r="B7622" s="4"/>
      <c r="C7622" s="4"/>
      <c r="D7622" s="4"/>
      <c r="E7622" s="4"/>
    </row>
    <row r="7623">
      <c r="A7623" s="4"/>
      <c r="B7623" s="4"/>
      <c r="C7623" s="4"/>
      <c r="D7623" s="4"/>
      <c r="E7623" s="4"/>
    </row>
    <row r="7624">
      <c r="A7624" s="4"/>
      <c r="B7624" s="4"/>
      <c r="C7624" s="4"/>
      <c r="D7624" s="4"/>
      <c r="E7624" s="4"/>
    </row>
    <row r="7625">
      <c r="A7625" s="4"/>
      <c r="B7625" s="4"/>
      <c r="C7625" s="4"/>
      <c r="D7625" s="4"/>
      <c r="E7625" s="4"/>
    </row>
    <row r="7626">
      <c r="A7626" s="4"/>
      <c r="B7626" s="4"/>
      <c r="C7626" s="4"/>
      <c r="D7626" s="4"/>
      <c r="E7626" s="4"/>
    </row>
    <row r="7627">
      <c r="A7627" s="4"/>
      <c r="B7627" s="4"/>
      <c r="C7627" s="4"/>
      <c r="D7627" s="4"/>
      <c r="E7627" s="4"/>
    </row>
    <row r="7628">
      <c r="A7628" s="4"/>
      <c r="B7628" s="4"/>
      <c r="C7628" s="4"/>
      <c r="D7628" s="4"/>
      <c r="E7628" s="4"/>
    </row>
    <row r="7629">
      <c r="A7629" s="4"/>
      <c r="B7629" s="4"/>
      <c r="C7629" s="4"/>
      <c r="D7629" s="4"/>
      <c r="E7629" s="4"/>
    </row>
    <row r="7630">
      <c r="A7630" s="4"/>
      <c r="B7630" s="4"/>
      <c r="C7630" s="4"/>
      <c r="D7630" s="4"/>
      <c r="E7630" s="4"/>
    </row>
    <row r="7631">
      <c r="A7631" s="4"/>
      <c r="B7631" s="4"/>
      <c r="C7631" s="4"/>
      <c r="D7631" s="4"/>
      <c r="E7631" s="4"/>
    </row>
    <row r="7632">
      <c r="A7632" s="4"/>
      <c r="B7632" s="4"/>
      <c r="C7632" s="4"/>
      <c r="D7632" s="4"/>
      <c r="E7632" s="4"/>
    </row>
    <row r="7633">
      <c r="A7633" s="4"/>
      <c r="B7633" s="4"/>
      <c r="C7633" s="4"/>
      <c r="D7633" s="4"/>
      <c r="E7633" s="4"/>
    </row>
    <row r="7634">
      <c r="A7634" s="4"/>
      <c r="B7634" s="4"/>
      <c r="C7634" s="4"/>
      <c r="D7634" s="4"/>
      <c r="E7634" s="4"/>
    </row>
    <row r="7635">
      <c r="A7635" s="4"/>
      <c r="B7635" s="4"/>
      <c r="C7635" s="4"/>
      <c r="D7635" s="4"/>
      <c r="E7635" s="4"/>
    </row>
    <row r="7636">
      <c r="A7636" s="4"/>
      <c r="B7636" s="4"/>
      <c r="C7636" s="4"/>
      <c r="D7636" s="4"/>
      <c r="E7636" s="4"/>
    </row>
    <row r="7637">
      <c r="A7637" s="4"/>
      <c r="B7637" s="4"/>
      <c r="C7637" s="4"/>
      <c r="D7637" s="4"/>
      <c r="E7637" s="4"/>
    </row>
    <row r="7638">
      <c r="A7638" s="4"/>
      <c r="B7638" s="4"/>
      <c r="C7638" s="4"/>
      <c r="D7638" s="4"/>
      <c r="E7638" s="4"/>
    </row>
    <row r="7639">
      <c r="A7639" s="4"/>
      <c r="B7639" s="4"/>
      <c r="C7639" s="4"/>
      <c r="D7639" s="4"/>
      <c r="E7639" s="4"/>
    </row>
    <row r="7640">
      <c r="A7640" s="4"/>
      <c r="B7640" s="4"/>
      <c r="C7640" s="4"/>
      <c r="D7640" s="4"/>
      <c r="E7640" s="4"/>
    </row>
    <row r="7641">
      <c r="A7641" s="4"/>
      <c r="B7641" s="4"/>
      <c r="C7641" s="4"/>
      <c r="D7641" s="4"/>
      <c r="E7641" s="4"/>
    </row>
    <row r="7642">
      <c r="A7642" s="4"/>
      <c r="B7642" s="4"/>
      <c r="C7642" s="4"/>
      <c r="D7642" s="4"/>
      <c r="E7642" s="4"/>
    </row>
    <row r="7643">
      <c r="A7643" s="4"/>
      <c r="B7643" s="4"/>
      <c r="C7643" s="4"/>
      <c r="D7643" s="4"/>
      <c r="E7643" s="4"/>
    </row>
    <row r="7644">
      <c r="A7644" s="4"/>
      <c r="B7644" s="4"/>
      <c r="C7644" s="4"/>
      <c r="D7644" s="4"/>
      <c r="E7644" s="4"/>
    </row>
    <row r="7645">
      <c r="A7645" s="4"/>
      <c r="B7645" s="4"/>
      <c r="C7645" s="4"/>
      <c r="D7645" s="4"/>
      <c r="E7645" s="4"/>
    </row>
    <row r="7646">
      <c r="A7646" s="4"/>
      <c r="B7646" s="4"/>
      <c r="C7646" s="4"/>
      <c r="D7646" s="4"/>
      <c r="E7646" s="4"/>
    </row>
    <row r="7647">
      <c r="A7647" s="4"/>
      <c r="B7647" s="4"/>
      <c r="C7647" s="4"/>
      <c r="D7647" s="4"/>
      <c r="E7647" s="4"/>
    </row>
    <row r="7648">
      <c r="A7648" s="4"/>
      <c r="B7648" s="4"/>
      <c r="C7648" s="4"/>
      <c r="D7648" s="4"/>
      <c r="E7648" s="4"/>
    </row>
    <row r="7649">
      <c r="A7649" s="4"/>
      <c r="B7649" s="4"/>
      <c r="C7649" s="4"/>
      <c r="D7649" s="4"/>
      <c r="E7649" s="4"/>
    </row>
    <row r="7650">
      <c r="A7650" s="4"/>
      <c r="B7650" s="4"/>
      <c r="C7650" s="4"/>
      <c r="D7650" s="4"/>
      <c r="E7650" s="4"/>
    </row>
    <row r="7651">
      <c r="A7651" s="4"/>
      <c r="B7651" s="4"/>
      <c r="C7651" s="4"/>
      <c r="D7651" s="4"/>
      <c r="E7651" s="4"/>
    </row>
    <row r="7652">
      <c r="A7652" s="4"/>
      <c r="B7652" s="4"/>
      <c r="C7652" s="4"/>
      <c r="D7652" s="4"/>
      <c r="E7652" s="4"/>
    </row>
    <row r="7653">
      <c r="A7653" s="4"/>
      <c r="B7653" s="4"/>
      <c r="C7653" s="4"/>
      <c r="D7653" s="4"/>
      <c r="E7653" s="4"/>
    </row>
    <row r="7654">
      <c r="A7654" s="4"/>
      <c r="B7654" s="4"/>
      <c r="C7654" s="4"/>
      <c r="D7654" s="4"/>
      <c r="E7654" s="4"/>
    </row>
    <row r="7655">
      <c r="A7655" s="4"/>
      <c r="B7655" s="4"/>
      <c r="C7655" s="4"/>
      <c r="D7655" s="4"/>
      <c r="E7655" s="4"/>
    </row>
    <row r="7656">
      <c r="A7656" s="4"/>
      <c r="B7656" s="4"/>
      <c r="C7656" s="4"/>
      <c r="D7656" s="4"/>
      <c r="E7656" s="4"/>
    </row>
    <row r="7657">
      <c r="A7657" s="4"/>
      <c r="B7657" s="4"/>
      <c r="C7657" s="4"/>
      <c r="D7657" s="4"/>
      <c r="E7657" s="4"/>
    </row>
    <row r="7658">
      <c r="A7658" s="4"/>
      <c r="B7658" s="4"/>
      <c r="C7658" s="4"/>
      <c r="D7658" s="4"/>
      <c r="E7658" s="4"/>
    </row>
    <row r="7659">
      <c r="A7659" s="4"/>
      <c r="B7659" s="4"/>
      <c r="C7659" s="4"/>
      <c r="D7659" s="4"/>
      <c r="E7659" s="4"/>
    </row>
    <row r="7660">
      <c r="A7660" s="4"/>
      <c r="B7660" s="4"/>
      <c r="C7660" s="4"/>
      <c r="D7660" s="4"/>
      <c r="E7660" s="4"/>
    </row>
    <row r="7661">
      <c r="A7661" s="4"/>
      <c r="B7661" s="4"/>
      <c r="C7661" s="4"/>
      <c r="D7661" s="4"/>
      <c r="E7661" s="4"/>
    </row>
    <row r="7662">
      <c r="A7662" s="4"/>
      <c r="B7662" s="4"/>
      <c r="C7662" s="4"/>
      <c r="D7662" s="4"/>
      <c r="E7662" s="4"/>
    </row>
    <row r="7663">
      <c r="A7663" s="4"/>
      <c r="B7663" s="4"/>
      <c r="C7663" s="4"/>
      <c r="D7663" s="4"/>
      <c r="E7663" s="4"/>
    </row>
    <row r="7664">
      <c r="A7664" s="4"/>
      <c r="B7664" s="4"/>
      <c r="C7664" s="4"/>
      <c r="D7664" s="4"/>
      <c r="E7664" s="4"/>
    </row>
    <row r="7665">
      <c r="A7665" s="4"/>
      <c r="B7665" s="4"/>
      <c r="C7665" s="4"/>
      <c r="D7665" s="4"/>
      <c r="E7665" s="4"/>
    </row>
    <row r="7666">
      <c r="A7666" s="4"/>
      <c r="B7666" s="4"/>
      <c r="C7666" s="4"/>
      <c r="D7666" s="4"/>
      <c r="E7666" s="4"/>
    </row>
    <row r="7667">
      <c r="A7667" s="4"/>
      <c r="B7667" s="4"/>
      <c r="C7667" s="4"/>
      <c r="D7667" s="4"/>
      <c r="E7667" s="4"/>
    </row>
    <row r="7668">
      <c r="A7668" s="4"/>
      <c r="B7668" s="4"/>
      <c r="C7668" s="4"/>
      <c r="D7668" s="4"/>
      <c r="E7668" s="4"/>
    </row>
    <row r="7669">
      <c r="A7669" s="4"/>
      <c r="B7669" s="4"/>
      <c r="C7669" s="4"/>
      <c r="D7669" s="4"/>
      <c r="E7669" s="4"/>
    </row>
    <row r="7670">
      <c r="A7670" s="4"/>
      <c r="B7670" s="4"/>
      <c r="C7670" s="4"/>
      <c r="D7670" s="4"/>
      <c r="E7670" s="4"/>
    </row>
    <row r="7671">
      <c r="A7671" s="4"/>
      <c r="B7671" s="4"/>
      <c r="C7671" s="4"/>
      <c r="D7671" s="4"/>
      <c r="E7671" s="4"/>
    </row>
    <row r="7672">
      <c r="A7672" s="4"/>
      <c r="B7672" s="4"/>
      <c r="C7672" s="4"/>
      <c r="D7672" s="4"/>
      <c r="E7672" s="4"/>
    </row>
    <row r="7673">
      <c r="A7673" s="4"/>
      <c r="B7673" s="4"/>
      <c r="C7673" s="4"/>
      <c r="D7673" s="4"/>
      <c r="E7673" s="4"/>
    </row>
    <row r="7674">
      <c r="A7674" s="4"/>
      <c r="B7674" s="4"/>
      <c r="C7674" s="4"/>
      <c r="D7674" s="4"/>
      <c r="E7674" s="4"/>
    </row>
    <row r="7675">
      <c r="A7675" s="4"/>
      <c r="B7675" s="4"/>
      <c r="C7675" s="4"/>
      <c r="D7675" s="4"/>
      <c r="E7675" s="4"/>
    </row>
    <row r="7676">
      <c r="A7676" s="4"/>
      <c r="B7676" s="4"/>
      <c r="C7676" s="4"/>
      <c r="D7676" s="4"/>
      <c r="E7676" s="4"/>
    </row>
    <row r="7677">
      <c r="A7677" s="4"/>
      <c r="B7677" s="4"/>
      <c r="C7677" s="4"/>
      <c r="D7677" s="4"/>
      <c r="E7677" s="4"/>
    </row>
    <row r="7678">
      <c r="A7678" s="4"/>
      <c r="B7678" s="4"/>
      <c r="C7678" s="4"/>
      <c r="D7678" s="4"/>
      <c r="E7678" s="4"/>
    </row>
    <row r="7679">
      <c r="A7679" s="4"/>
      <c r="B7679" s="4"/>
      <c r="C7679" s="4"/>
      <c r="D7679" s="4"/>
      <c r="E7679" s="4"/>
    </row>
    <row r="7680">
      <c r="A7680" s="4"/>
      <c r="B7680" s="4"/>
      <c r="C7680" s="4"/>
      <c r="D7680" s="4"/>
      <c r="E7680" s="4"/>
    </row>
    <row r="7681">
      <c r="A7681" s="4"/>
      <c r="B7681" s="4"/>
      <c r="C7681" s="4"/>
      <c r="D7681" s="4"/>
      <c r="E7681" s="4"/>
    </row>
    <row r="7682">
      <c r="A7682" s="4"/>
      <c r="B7682" s="4"/>
      <c r="C7682" s="4"/>
      <c r="D7682" s="4"/>
      <c r="E7682" s="4"/>
    </row>
    <row r="7683">
      <c r="A7683" s="4"/>
      <c r="B7683" s="4"/>
      <c r="C7683" s="4"/>
      <c r="D7683" s="4"/>
      <c r="E7683" s="4"/>
    </row>
    <row r="7684">
      <c r="A7684" s="4"/>
      <c r="B7684" s="4"/>
      <c r="C7684" s="4"/>
      <c r="D7684" s="4"/>
      <c r="E7684" s="4"/>
    </row>
    <row r="7685">
      <c r="A7685" s="4"/>
      <c r="B7685" s="4"/>
      <c r="C7685" s="4"/>
      <c r="D7685" s="4"/>
      <c r="E7685" s="4"/>
    </row>
    <row r="7686">
      <c r="A7686" s="4"/>
      <c r="B7686" s="4"/>
      <c r="C7686" s="4"/>
      <c r="D7686" s="4"/>
      <c r="E7686" s="4"/>
    </row>
    <row r="7687">
      <c r="A7687" s="4"/>
      <c r="B7687" s="4"/>
      <c r="C7687" s="4"/>
      <c r="D7687" s="4"/>
      <c r="E7687" s="4"/>
    </row>
    <row r="7688">
      <c r="A7688" s="4"/>
      <c r="B7688" s="4"/>
      <c r="C7688" s="4"/>
      <c r="D7688" s="4"/>
      <c r="E7688" s="4"/>
    </row>
    <row r="7689">
      <c r="A7689" s="4"/>
      <c r="B7689" s="4"/>
      <c r="C7689" s="4"/>
      <c r="D7689" s="4"/>
      <c r="E7689" s="4"/>
    </row>
    <row r="7690">
      <c r="A7690" s="4"/>
      <c r="B7690" s="4"/>
      <c r="C7690" s="4"/>
      <c r="D7690" s="4"/>
      <c r="E7690" s="4"/>
    </row>
    <row r="7691">
      <c r="A7691" s="4"/>
      <c r="B7691" s="4"/>
      <c r="C7691" s="4"/>
      <c r="D7691" s="4"/>
      <c r="E7691" s="4"/>
    </row>
    <row r="7692">
      <c r="A7692" s="4"/>
      <c r="B7692" s="4"/>
      <c r="C7692" s="4"/>
      <c r="D7692" s="4"/>
      <c r="E7692" s="4"/>
    </row>
    <row r="7693">
      <c r="A7693" s="4"/>
      <c r="B7693" s="4"/>
      <c r="C7693" s="4"/>
      <c r="D7693" s="4"/>
      <c r="E7693" s="4"/>
    </row>
    <row r="7694">
      <c r="A7694" s="4"/>
      <c r="B7694" s="4"/>
      <c r="C7694" s="4"/>
      <c r="D7694" s="4"/>
      <c r="E7694" s="4"/>
    </row>
    <row r="7695">
      <c r="A7695" s="4"/>
      <c r="B7695" s="4"/>
      <c r="C7695" s="4"/>
      <c r="D7695" s="4"/>
      <c r="E7695" s="4"/>
    </row>
    <row r="7696">
      <c r="A7696" s="4"/>
      <c r="B7696" s="4"/>
      <c r="C7696" s="4"/>
      <c r="D7696" s="4"/>
      <c r="E7696" s="4"/>
    </row>
    <row r="7697">
      <c r="A7697" s="4"/>
      <c r="B7697" s="4"/>
      <c r="C7697" s="4"/>
      <c r="D7697" s="4"/>
      <c r="E7697" s="4"/>
    </row>
    <row r="7698">
      <c r="A7698" s="4"/>
      <c r="B7698" s="4"/>
      <c r="C7698" s="4"/>
      <c r="D7698" s="4"/>
      <c r="E7698" s="4"/>
    </row>
    <row r="7699">
      <c r="A7699" s="4"/>
      <c r="B7699" s="4"/>
      <c r="C7699" s="4"/>
      <c r="D7699" s="4"/>
      <c r="E7699" s="4"/>
    </row>
    <row r="7700">
      <c r="A7700" s="4"/>
      <c r="B7700" s="4"/>
      <c r="C7700" s="4"/>
      <c r="D7700" s="4"/>
      <c r="E7700" s="4"/>
    </row>
    <row r="7701">
      <c r="A7701" s="4"/>
      <c r="B7701" s="4"/>
      <c r="C7701" s="4"/>
      <c r="D7701" s="4"/>
      <c r="E7701" s="4"/>
    </row>
    <row r="7702">
      <c r="A7702" s="4"/>
      <c r="B7702" s="4"/>
      <c r="C7702" s="4"/>
      <c r="D7702" s="4"/>
      <c r="E7702" s="4"/>
    </row>
    <row r="7703">
      <c r="A7703" s="4"/>
      <c r="B7703" s="4"/>
      <c r="C7703" s="4"/>
      <c r="D7703" s="4"/>
      <c r="E7703" s="4"/>
    </row>
    <row r="7704">
      <c r="A7704" s="4"/>
      <c r="B7704" s="4"/>
      <c r="C7704" s="4"/>
      <c r="D7704" s="4"/>
      <c r="E7704" s="4"/>
    </row>
    <row r="7705">
      <c r="A7705" s="4"/>
      <c r="B7705" s="4"/>
      <c r="C7705" s="4"/>
      <c r="D7705" s="4"/>
      <c r="E7705" s="4"/>
    </row>
  </sheetData>
  <drawing r:id="rId1"/>
</worksheet>
</file>